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5304a0b524d28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公司应付款项汇总" sheetId="8" ns1:id="R9dd9e1ec69944b4f"/>
    <ns0:sheet name="N经济补偿明细" sheetId="14" ns1:id="Reb8d95479fe74336"/>
    <ns0:sheet name="代通知金明细" sheetId="15" ns1:id="Re2690a3e1d5c437e"/>
    <ns0:sheet name="未发工资明细" sheetId="13" ns1:id="Ra73203592b774db9"/>
    <ns0:sheet name="工作日加班明细" sheetId="9" ns1:id="Ra79f86c6fcec497d"/>
    <ns0:sheet name="未付工作日加班明细" sheetId="18" ns1:id="Rdfc556b23a924221"/>
    <ns0:sheet name="单双休加班明细" sheetId="10" ns1:id="Re90f9940a0c64cff"/>
    <ns0:sheet name="十月未补休明细" sheetId="11" ns1:id="R92882c3e843e48b4"/>
    <ns0:sheet name="社保单位补缴明细" sheetId="16" ns1:id="Rf4423054e02e465d"/>
    <ns0:sheet name="公积金单位补缴明细" sheetId="17" ns1:id="R5b589cee9e2c4f7b"/>
    <ns0:sheet name="社保滞纳金明细" sheetId="19" ns1:id="R0dad2dd25b084623"/>
    <ns0:sheet name="口径与来源" sheetId="7" ns1:id="R3bfe9cbf15bc4dfe"/>
    <ns0:sheet name="工资单转录" sheetId="5" ns1:id="R21cebed0735641fb"/>
    <ns0:sheet name="逐日加班" sheetId="6" ns1:id="R7974850b15f64d20"/>
    <ns0:sheet name="月度加班" sheetId="2" ns1:id="R2bdc150ccf7247a7"/>
    <ns0:sheet name="社保补缴" sheetId="3" ns1:id="R4b87b94a2bfb4af2" state="hidden"/>
    <ns0:sheet name="公积金补缴" sheetId="4" ns1:id="Rab6d56945639453c" state="hidden"/>
    <ns0:sheet name="核算总览" sheetId="1" ns1:id="Rf9df1df731e44b5c" state="hidden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#,##0.00"/>
    <x:numFmt numFmtId="201" formatCode="0%"/>
    <x:numFmt numFmtId="202" formatCode="#,##0"/>
    <x:numFmt numFmtId="203" formatCode="0.00"/>
    <x:numFmt numFmtId="204" formatCode="0"/>
    <x:numFmt numFmtId="205" formatCode="#,##0.00;[Red](#,##0.00)"/>
    <x:numFmt numFmtId="206" formatCode="yyyy-mm-dd"/>
    <x:numFmt numFmtId="207" formatCode="0.00%"/>
    <x:numFmt numFmtId="208" formatCode="General"/>
    <x:numFmt numFmtId="209" formatCode="#,##0.000000"/>
  </x:numFmts>
  <x:fonts count="18">
    <x:font>
      <x:sz val="11"/>
      <x:name val="Carlito"/>
    </x:font>
    <x:font>
      <x:b/>
      <x:sz val="16"/>
      <x:color rgb="FFFFFFFF"/>
      <x:name val="Arial"/>
    </x:font>
    <x:font>
      <x:b/>
      <x:sz val="11"/>
      <x:color rgb="FFFFFFFF"/>
      <x:name val="Arial"/>
    </x:font>
    <x:font>
      <x:b/>
      <x:sz val="11"/>
      <x:color rgb="FF17365D"/>
      <x:name val="Arial"/>
    </x:font>
    <x:font>
      <x:sz val="10"/>
      <x:name val="Arial"/>
    </x:font>
    <x:font>
      <x:b/>
      <x:sz val="10"/>
      <x:color rgb="FF17365D"/>
      <x:name val="Arial"/>
    </x:font>
    <x:font>
      <x:b/>
      <x:sz val="10"/>
      <x:color rgb="FFFFFFFF"/>
      <x:name val="Arial"/>
    </x:font>
    <x:font>
      <x:b/>
      <x:sz val="18"/>
      <x:color rgb="FFFFFFFF"/>
      <x:name val="Arial"/>
    </x:font>
    <x:font>
      <x:sz val="10"/>
      <x:color rgb="FF40556B"/>
      <x:name val="Arial"/>
    </x:font>
    <x:font>
      <x:sz val="11"/>
      <x:color rgb="FF243746"/>
      <x:name val="Arial"/>
    </x:font>
    <x:font>
      <x:b/>
      <x:sz val="13"/>
      <x:color rgb="FFFFFFFF"/>
      <x:name val="Arial"/>
    </x:font>
    <x:font>
      <x:sz val="10"/>
      <x:color rgb="FF5A4B1E"/>
      <x:name val="Arial"/>
    </x:font>
    <x:font>
      <x:b/>
      <x:sz val="11"/>
      <x:color rgb="FF243746"/>
      <x:name val="Arial"/>
    </x:font>
    <x:font>
      <x:sz val="11"/>
      <x:name val="Arial"/>
    </x:font>
    <x:font>
      <x:sz val="9"/>
      <x:name val="Arial"/>
    </x:font>
    <x:font>
      <x:b/>
      <x:sz val="12"/>
      <x:color rgb="FFFFFFFF"/>
      <x:name val="Arial"/>
    </x:font>
    <x:font>
      <x:sz val="10"/>
      <x:color rgb="FF17365D"/>
      <x:name val="Arial"/>
    </x:font>
    <x:font>
      <x:b/>
      <x:sz val="11"/>
      <x:name val="Carlito"/>
    </x:font>
  </x:fonts>
  <x:fills count="63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FF2CC"/>
      </x:patternFill>
    </x:fill>
    <x:fill>
      <x:patternFill patternType="solid">
        <x:fgColor rgb="FFDCEAF7"/>
      </x:patternFill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FFF2CC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FF2CC"/>
      </x:patternFill>
    </x:fill>
    <x:fill>
      <x:patternFill patternType="solid">
        <x:fgColor rgb="FF17365D"/>
      </x:patternFill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17365D"/>
      </x:patternFill>
    </x:fill>
    <x:fill>
      <x:patternFill patternType="solid">
        <x:fgColor rgb="FFEAF0F7"/>
      </x:patternFill>
    </x:fill>
    <x:fill>
      <x:patternFill patternType="solid">
        <x:fgColor rgb="FF24476A"/>
      </x:patternFill>
    </x:fill>
    <x:fill>
      <x:patternFill patternType="solid">
        <x:fgColor rgb="FFE7F0F6"/>
      </x:patternFill>
    </x:fill>
    <x:fill>
      <x:patternFill patternType="solid">
        <x:fgColor rgb="FFFFF2CC"/>
      </x:patternFill>
    </x:fill>
    <x:fill>
      <x:patternFill patternType="solid">
        <x:fgColor rgb="FF17365D"/>
      </x:patternFill>
    </x:fill>
    <x:fill>
      <x:patternFill patternType="solid">
        <x:fgColor rgb="FFEAF0F7"/>
      </x:patternFill>
    </x:fill>
    <x:fill>
      <x:patternFill patternType="solid">
        <x:fgColor rgb="FF24476A"/>
      </x:patternFill>
    </x:fill>
    <x:fill>
      <x:patternFill patternType="solid">
        <x:fgColor rgb="FFE7F0F6"/>
      </x:patternFill>
    </x:fill>
    <x:fill>
      <x:patternFill patternType="solid">
        <x:fgColor rgb="FFFFF2CC"/>
      </x:patternFill>
    </x:fill>
    <x:fill>
      <x:patternFill patternType="solid">
        <x:fgColor rgb="FFF2F6FA"/>
      </x:patternFill>
    </x:fill>
    <x:fill>
      <x:patternFill patternType="solid">
        <x:fgColor rgb="FFE7F0F6"/>
      </x:patternFill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E7F0F6"/>
      </x:patternFill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E7F0F6"/>
      </x:patternFill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E7F0F6"/>
      </x:patternFill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E7F0F6"/>
      </x:patternFill>
    </x:fill>
    <x:fill>
      <x:patternFill patternType="solid">
        <x:fgColor rgb="FF17365D"/>
      </x:patternFill>
    </x:fill>
    <x:fill>
      <x:patternFill patternType="solid">
        <x:fgColor rgb="FFFFF2CC"/>
      </x:patternFill>
    </x:fill>
    <x:fill>
      <x:patternFill patternType="solid">
        <x:fgColor rgb="FF17365D"/>
      </x:patternFill>
    </x:fill>
    <x:fill>
      <x:patternFill patternType="solid">
        <x:fgColor rgb="FF24476A"/>
      </x:patternFill>
    </x:fill>
    <x:fill>
      <x:patternFill patternType="solid">
        <x:fgColor rgb="FFE7F0F6"/>
      </x:patternFill>
    </x:fill>
    <x:fill>
      <x:patternFill patternType="solid">
        <x:fgColor rgb="FFFFFFFF"/>
      </x:patternFill>
    </x:fill>
    <x:fill>
      <x:patternFill patternType="solid">
        <x:fgColor rgb="FFFFF2CC"/>
      </x:patternFill>
    </x:fill>
    <x:fill>
      <x:patternFill patternType="solid">
        <x:fgColor rgb="FF24476A"/>
      </x:patternFill>
    </x:fill>
    <x:fill>
      <x:patternFill patternType="solid">
        <x:fgColor rgb="FF17365D"/>
      </x:patternFill>
    </x:fill>
    <x:fill>
      <x:patternFill patternType="solid">
        <x:fgColor rgb="FFE7F0F6"/>
      </x:patternFill>
    </x:fill>
    <x:fill>
      <x:patternFill patternType="solid">
        <x:fgColor rgb="FF17365D"/>
      </x:patternFill>
    </x:fill>
    <x:fill>
      <x:patternFill patternType="solid">
        <x:fgColor rgb="FF24476A"/>
      </x:patternFill>
    </x:fill>
    <x:fill>
      <x:patternFill patternType="solid">
        <x:fgColor rgb="FFE7F0F6"/>
      </x:patternFill>
    </x:fill>
    <x:fill>
      <x:patternFill patternType="solid">
        <x:fgColor rgb="FF17365D"/>
      </x:patternFill>
    </x:fill>
    <x:fill>
      <x:patternFill patternType="solid">
        <x:fgColor rgb="FF24476A"/>
      </x:patternFill>
    </x:fill>
    <x:fill>
      <x:patternFill patternType="solid">
        <x:fgColor rgb="FFE7F0F6"/>
      </x:patternFill>
    </x:fill>
    <x:fill>
      <x:patternFill patternType="solid">
        <x:fgColor rgb="FFE5EFF6"/>
      </x:patternFill>
    </x:fill>
    <x:fill>
      <x:patternFill patternType="solid">
        <x:fgColor rgb="FFFFF1BF"/>
      </x:patternFill>
    </x:fill>
    <x:fill>
      <x:patternFill patternType="solid">
        <x:fgColor rgb="FFE5EF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3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201" fontId="0" fillId="4" borderId="0" xfId="0" applyNumberFormat="1" applyFont="1" applyFill="1" applyBorder="1"/>
    <x:xf numFmtId="202" fontId="0" fillId="4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3" borderId="0" xfId="0" applyNumberFormat="1" applyFont="1" applyFill="1" applyBorder="1"/>
    <x:xf numFmtId="0" fontId="3" fillId="3" borderId="0" xfId="0" applyNumberFormat="1" applyFont="1" applyFill="1" applyBorder="1"/>
    <x:xf numFmtId="200" fontId="3" fillId="3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203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0" fillId="5" borderId="0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200" fontId="4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200" fontId="4" fillId="8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vertical="center"/>
    </x:xf>
    <x:xf numFmtId="0" fontId="4" fillId="10" borderId="0" xfId="0" applyNumberFormat="1" applyFont="1" applyFill="1" applyBorder="1" applyAlignment="1">
      <x:alignment vertical="center"/>
    </x:xf>
    <x:xf numFmtId="200" fontId="4" fillId="10" borderId="0" xfId="0" applyNumberFormat="1" applyFont="1" applyFill="1" applyBorder="1" applyAlignment="1">
      <x:alignment vertical="center"/>
    </x:xf>
    <x:xf numFmtId="0" fontId="5" fillId="10" borderId="0" xfId="0" applyNumberFormat="1" applyFont="1" applyFill="1" applyBorder="1" applyAlignment="1">
      <x:alignment vertical="center"/>
    </x:xf>
    <x:xf numFmtId="200" fontId="5" fillId="10" borderId="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2" fillId="11" borderId="0" xfId="0" applyNumberFormat="1" applyFont="1" applyFill="1" applyBorder="1"/>
    <x:xf numFmtId="0" fontId="2" fillId="11" borderId="0" xfId="0" applyNumberFormat="1" applyFont="1" applyFill="1" applyBorder="1" applyAlignment="1">
      <x:alignment vertical="center"/>
    </x:xf>
    <x:xf numFmtId="205" fontId="4" fillId="0" borderId="0" xfId="0" applyNumberFormat="1" applyFont="1" applyFill="1" applyBorder="1" applyAlignment="1">
      <x:alignment vertical="center"/>
    </x:xf>
    <x:xf numFmtId="0" fontId="4" fillId="12" borderId="0" xfId="0" applyNumberFormat="1" applyFont="1" applyFill="1" applyBorder="1" applyAlignment="1">
      <x:alignment vertical="center"/>
    </x:xf>
    <x:xf numFmtId="205" fontId="4" fillId="12" borderId="0" xfId="0" applyNumberFormat="1" applyFont="1" applyFill="1" applyBorder="1" applyAlignment="1">
      <x:alignment vertical="center"/>
    </x:xf>
    <x:xf numFmtId="0" fontId="5" fillId="12" borderId="0" xfId="0" applyNumberFormat="1" applyFont="1" applyFill="1" applyBorder="1" applyAlignment="1">
      <x:alignment vertical="center"/>
    </x:xf>
    <x:xf numFmtId="205" fontId="5" fillId="12" borderId="0" xfId="0" applyNumberFormat="1" applyFont="1" applyFill="1" applyBorder="1" applyAlignment="1">
      <x:alignment vertical="center"/>
    </x:xf>
    <x:xf numFmtId="0" fontId="0" fillId="13" borderId="0" xfId="0" applyNumberFormat="1" applyFont="1" applyFill="1" applyBorder="1"/>
    <x:xf numFmtId="0" fontId="4" fillId="13" borderId="0" xfId="0" applyNumberFormat="1" applyFont="1" applyFill="1" applyBorder="1"/>
    <x:xf numFmtId="0" fontId="4" fillId="13" borderId="0" xfId="0" applyNumberFormat="1" applyFont="1" applyFill="1" applyBorder="1" applyAlignment="1">
      <x:alignment wrapText="1"/>
    </x:xf>
    <x:xf numFmtId="0" fontId="0" fillId="14" borderId="0" xfId="0" applyNumberFormat="1" applyFont="1" applyFill="1" applyBorder="1"/>
    <x:xf numFmtId="0" fontId="2" fillId="14" borderId="0" xfId="0" applyNumberFormat="1" applyFont="1" applyFill="1" applyBorder="1"/>
    <x:xf numFmtId="0" fontId="2" fillId="14" borderId="0" xfId="0" applyNumberFormat="1" applyFont="1" applyFill="1" applyBorder="1" applyAlignment="1">
      <x:alignment wrapText="1"/>
    </x:xf>
    <x:xf numFmtId="0" fontId="2" fillId="1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15" borderId="0" xfId="0" applyNumberFormat="1" applyFont="1" applyFill="1" applyBorder="1"/>
    <x:xf numFmtId="0" fontId="6" fillId="15" borderId="0" xfId="0" applyNumberFormat="1" applyFont="1" applyFill="1" applyBorder="1"/>
    <x:xf numFmtId="0" fontId="6" fillId="15" borderId="0" xfId="0" applyNumberFormat="1" applyFont="1" applyFill="1" applyBorder="1" applyAlignment="1">
      <x:alignment wrapText="1"/>
    </x:xf>
    <x:xf numFmtId="0" fontId="6" fillId="15" borderId="0" xfId="0" applyNumberFormat="1" applyFont="1" applyFill="1" applyBorder="1" applyAlignment="1">
      <x:alignment vertical="center" wrapText="1"/>
    </x:xf>
    <x:xf numFmtId="203" fontId="0" fillId="0" borderId="0" xfId="0" applyNumberFormat="1" applyFont="1" applyFill="1" applyBorder="1"/>
    <x:xf numFmtId="201" fontId="0" fillId="0" borderId="0" xfId="0" applyNumberFormat="1" applyFont="1" applyFill="1" applyBorder="1"/>
    <x:xf numFmtId="204" fontId="0" fillId="0" borderId="0" xfId="0" applyNumberFormat="1" applyFont="1" applyFill="1" applyBorder="1"/>
    <x:xf numFmtId="203" fontId="4" fillId="0" borderId="0" xfId="0" applyNumberFormat="1" applyFont="1" applyFill="1" applyBorder="1"/>
    <x:xf numFmtId="201" fontId="4" fillId="0" borderId="0" xfId="0" applyNumberFormat="1" applyFont="1" applyFill="1" applyBorder="1"/>
    <x:xf numFmtId="204" fontId="4" fillId="0" borderId="0" xfId="0" applyNumberFormat="1" applyFont="1" applyFill="1" applyBorder="1"/>
    <x:xf numFmtId="201" fontId="4" fillId="0" borderId="0" xfId="0" applyNumberFormat="1" applyFont="1" applyFill="1" applyBorder="1" applyAlignment="1">
      <x:alignment vertical="center"/>
    </x:xf>
    <x:xf numFmtId="0" fontId="2" fillId="15" borderId="0" xfId="0" applyNumberFormat="1" applyFont="1" applyFill="1" applyBorder="1"/>
    <x:xf numFmtId="0" fontId="2" fillId="15" borderId="0" xfId="0" applyNumberFormat="1" applyFont="1" applyFill="1" applyBorder="1" applyAlignment="1">
      <x:alignment wrapText="1"/>
    </x:xf>
    <x:xf numFmtId="0" fontId="2" fillId="15" borderId="0" xfId="0" applyNumberFormat="1" applyFont="1" applyFill="1" applyBorder="1" applyAlignment="1">
      <x:alignment vertical="center" wrapText="1"/>
    </x:xf>
    <x:xf numFmtId="0" fontId="0" fillId="16" borderId="0" xfId="0" applyNumberFormat="1" applyFont="1" applyFill="1" applyBorder="1"/>
    <x:xf numFmtId="203" fontId="0" fillId="16" borderId="0" xfId="0" applyNumberFormat="1" applyFont="1" applyFill="1" applyBorder="1"/>
    <x:xf numFmtId="203" fontId="4" fillId="16" borderId="0" xfId="0" applyNumberFormat="1" applyFont="1" applyFill="1" applyBorder="1"/>
    <x:xf numFmtId="0" fontId="0" fillId="17" borderId="0" xfId="0" applyNumberFormat="1" applyFont="1" applyFill="1" applyBorder="1"/>
    <x:xf numFmtId="0" fontId="7" fillId="17" borderId="0" xfId="0" applyNumberFormat="1" applyFont="1" applyFill="1" applyBorder="1"/>
    <x:xf numFmtId="0" fontId="7" fillId="17" borderId="0" xfId="0" applyNumberFormat="1" applyFont="1" applyFill="1" applyBorder="1" applyAlignment="1">
      <x:alignment vertical="center"/>
    </x:xf>
    <x:xf numFmtId="0" fontId="0" fillId="18" borderId="0" xfId="0" applyNumberFormat="1" applyFont="1" applyFill="1" applyBorder="1"/>
    <x:xf numFmtId="0" fontId="8" fillId="18" borderId="0" xfId="0" applyNumberFormat="1" applyFont="1" applyFill="1" applyBorder="1"/>
    <x:xf numFmtId="0" fontId="8" fillId="18" borderId="0" xfId="0" applyNumberFormat="1" applyFont="1" applyFill="1" applyBorder="1" applyAlignment="1">
      <x:alignment vertical="center"/>
    </x:xf>
    <x:xf numFmtId="0" fontId="0" fillId="19" borderId="0" xfId="0" applyNumberFormat="1" applyFont="1" applyFill="1" applyBorder="1"/>
    <x:xf numFmtId="0" fontId="2" fillId="19" borderId="0" xfId="0" applyNumberFormat="1" applyFont="1" applyFill="1" applyBorder="1"/>
    <x:xf numFmtId="0" fontId="2" fillId="19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 wrapText="1"/>
    </x:xf>
    <x:xf numFmtId="0" fontId="9" fillId="20" borderId="0" xfId="0" applyNumberFormat="1" applyFont="1" applyFill="1" applyBorder="1" applyAlignment="1">
      <x:alignment vertical="center"/>
    </x:xf>
    <x:xf numFmtId="0" fontId="9" fillId="20" borderId="0" xfId="0" applyNumberFormat="1" applyFont="1" applyFill="1" applyBorder="1" applyAlignment="1">
      <x:alignment vertical="center" wrapText="1"/>
    </x:xf>
    <x:xf numFmtId="0" fontId="3" fillId="20" borderId="0" xfId="0" applyNumberFormat="1" applyFont="1" applyFill="1" applyBorder="1" applyAlignment="1">
      <x:alignment vertical="center"/>
    </x:xf>
    <x:xf numFmtId="0" fontId="3" fillId="20" borderId="0" xfId="0" applyNumberFormat="1" applyFont="1" applyFill="1" applyBorder="1" applyAlignment="1">
      <x:alignment vertical="center" wrapText="1"/>
    </x:xf>
    <x:xf numFmtId="0" fontId="9" fillId="17" borderId="0" xfId="0" applyNumberFormat="1" applyFont="1" applyFill="1" applyBorder="1" applyAlignment="1">
      <x:alignment vertical="center"/>
    </x:xf>
    <x:xf numFmtId="0" fontId="9" fillId="17" borderId="0" xfId="0" applyNumberFormat="1" applyFont="1" applyFill="1" applyBorder="1" applyAlignment="1">
      <x:alignment vertical="center" wrapText="1"/>
    </x:xf>
    <x:xf numFmtId="0" fontId="10" fillId="17" borderId="0" xfId="0" applyNumberFormat="1" applyFont="1" applyFill="1" applyBorder="1" applyAlignment="1">
      <x:alignment vertical="center"/>
    </x:xf>
    <x:xf numFmtId="0" fontId="10" fillId="17" borderId="0" xfId="0" applyNumberFormat="1" applyFont="1" applyFill="1" applyBorder="1" applyAlignment="1">
      <x:alignment vertical="center" wrapText="1"/>
    </x:xf>
    <x:xf numFmtId="0" fontId="0" fillId="21" borderId="0" xfId="0" applyNumberFormat="1" applyFont="1" applyFill="1" applyBorder="1"/>
    <x:xf numFmtId="0" fontId="11" fillId="21" borderId="0" xfId="0" applyNumberFormat="1" applyFont="1" applyFill="1" applyBorder="1"/>
    <x:xf numFmtId="0" fontId="11" fillId="21" borderId="0" xfId="0" applyNumberFormat="1" applyFont="1" applyFill="1" applyBorder="1" applyAlignment="1">
      <x:alignment wrapText="1"/>
    </x:xf>
    <x:xf numFmtId="0" fontId="11" fillId="21" borderId="0" xfId="0" applyNumberFormat="1" applyFont="1" applyFill="1" applyBorder="1" applyAlignment="1">
      <x:alignment vertical="center" wrapText="1"/>
    </x:xf>
    <x:xf numFmtId="200" fontId="9" fillId="0" borderId="0" xfId="0" applyNumberFormat="1" applyFont="1" applyFill="1" applyBorder="1" applyAlignment="1">
      <x:alignment vertical="center"/>
    </x:xf>
    <x:xf numFmtId="200" fontId="3" fillId="20" borderId="0" xfId="0" applyNumberFormat="1" applyFont="1" applyFill="1" applyBorder="1" applyAlignment="1">
      <x:alignment vertical="center"/>
    </x:xf>
    <x:xf numFmtId="200" fontId="10" fillId="17" borderId="0" xfId="0" applyNumberFormat="1" applyFont="1" applyFill="1" applyBorder="1" applyAlignment="1">
      <x:alignment vertical="center"/>
    </x:xf>
    <x:xf numFmtId="0" fontId="7" fillId="22" borderId="0" xfId="0" applyNumberFormat="1" applyFont="1" applyFill="1" applyBorder="1" applyAlignment="1">
      <x:alignment vertical="center"/>
    </x:xf>
    <x:xf numFmtId="0" fontId="8" fillId="23" borderId="0" xfId="0" applyNumberFormat="1" applyFont="1" applyFill="1" applyBorder="1" applyAlignment="1">
      <x:alignment vertical="center"/>
    </x:xf>
    <x:xf numFmtId="0" fontId="2" fillId="24" borderId="0" xfId="0" applyNumberFormat="1" applyFont="1" applyFill="1" applyBorder="1" applyAlignment="1">
      <x:alignment vertical="center"/>
    </x:xf>
    <x:xf numFmtId="0" fontId="12" fillId="20" borderId="0" xfId="0" applyNumberFormat="1" applyFont="1" applyFill="1" applyBorder="1" applyAlignment="1">
      <x:alignment vertical="center"/>
    </x:xf>
    <x:xf numFmtId="200" fontId="12" fillId="20" borderId="0" xfId="0" applyNumberFormat="1" applyFont="1" applyFill="1" applyBorder="1" applyAlignment="1">
      <x:alignment vertical="center"/>
    </x:xf>
    <x:xf numFmtId="0" fontId="12" fillId="20" borderId="0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 applyAlignment="1">
      <x:alignment vertical="center"/>
    </x:xf>
    <x:xf numFmtId="200" fontId="12" fillId="2" borderId="0" xfId="0" applyNumberFormat="1" applyFont="1" applyFill="1" applyBorder="1" applyAlignment="1">
      <x:alignment vertical="center"/>
    </x:xf>
    <x:xf numFmtId="0" fontId="12" fillId="2" borderId="0" xfId="0" applyNumberFormat="1" applyFont="1" applyFill="1" applyBorder="1" applyAlignment="1">
      <x:alignment vertical="center" wrapText="1"/>
    </x:xf>
    <x:xf numFmtId="0" fontId="12" fillId="25" borderId="0" xfId="0" applyNumberFormat="1" applyFont="1" applyFill="1" applyBorder="1" applyAlignment="1">
      <x:alignment vertical="center"/>
    </x:xf>
    <x:xf numFmtId="200" fontId="12" fillId="25" borderId="0" xfId="0" applyNumberFormat="1" applyFont="1" applyFill="1" applyBorder="1" applyAlignment="1">
      <x:alignment vertical="center"/>
    </x:xf>
    <x:xf numFmtId="0" fontId="12" fillId="25" borderId="0" xfId="0" applyNumberFormat="1" applyFont="1" applyFill="1" applyBorder="1" applyAlignment="1">
      <x:alignment vertical="center" wrapText="1"/>
    </x:xf>
    <x:xf numFmtId="0" fontId="3" fillId="25" borderId="0" xfId="0" applyNumberFormat="1" applyFont="1" applyFill="1" applyBorder="1" applyAlignment="1">
      <x:alignment vertical="center"/>
    </x:xf>
    <x:xf numFmtId="200" fontId="3" fillId="25" borderId="0" xfId="0" applyNumberFormat="1" applyFont="1" applyFill="1" applyBorder="1" applyAlignment="1">
      <x:alignment vertical="center"/>
    </x:xf>
    <x:xf numFmtId="0" fontId="3" fillId="25" borderId="0" xfId="0" applyNumberFormat="1" applyFont="1" applyFill="1" applyBorder="1" applyAlignment="1">
      <x:alignment vertical="center" wrapText="1"/>
    </x:xf>
    <x:xf numFmtId="0" fontId="12" fillId="22" borderId="0" xfId="0" applyNumberFormat="1" applyFont="1" applyFill="1" applyBorder="1" applyAlignment="1">
      <x:alignment vertical="center"/>
    </x:xf>
    <x:xf numFmtId="200" fontId="12" fillId="22" borderId="0" xfId="0" applyNumberFormat="1" applyFont="1" applyFill="1" applyBorder="1" applyAlignment="1">
      <x:alignment vertical="center"/>
    </x:xf>
    <x:xf numFmtId="0" fontId="12" fillId="22" borderId="0" xfId="0" applyNumberFormat="1" applyFont="1" applyFill="1" applyBorder="1" applyAlignment="1">
      <x:alignment vertical="center" wrapText="1"/>
    </x:xf>
    <x:xf numFmtId="0" fontId="10" fillId="22" borderId="0" xfId="0" applyNumberFormat="1" applyFont="1" applyFill="1" applyBorder="1" applyAlignment="1">
      <x:alignment vertical="center"/>
    </x:xf>
    <x:xf numFmtId="200" fontId="10" fillId="22" borderId="0" xfId="0" applyNumberFormat="1" applyFont="1" applyFill="1" applyBorder="1" applyAlignment="1">
      <x:alignment vertical="center"/>
    </x:xf>
    <x:xf numFmtId="0" fontId="10" fillId="22" borderId="0" xfId="0" applyNumberFormat="1" applyFont="1" applyFill="1" applyBorder="1" applyAlignment="1">
      <x:alignment vertical="center" wrapText="1"/>
    </x:xf>
    <x:xf numFmtId="0" fontId="11" fillId="26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 wrapText="1"/>
    </x:xf>
    <x:xf numFmtId="0" fontId="0" fillId="27" borderId="0" xfId="0" applyNumberFormat="1" applyFont="1" applyFill="1" applyBorder="1"/>
    <x:xf numFmtId="0" fontId="5" fillId="27" borderId="0" xfId="0" applyNumberFormat="1" applyFont="1" applyFill="1" applyBorder="1"/>
    <x:xf numFmtId="0" fontId="5" fillId="27" borderId="0" xfId="0" applyNumberFormat="1" applyFont="1" applyFill="1" applyBorder="1" applyAlignment="1">
      <x:alignment vertical="center"/>
    </x:xf>
    <x:xf numFmtId="200" fontId="5" fillId="27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 wrapText="1"/>
    </x:xf>
    <x:xf numFmtId="0" fontId="9" fillId="28" borderId="0" xfId="0" applyNumberFormat="1" applyFont="1" applyFill="1" applyBorder="1" applyAlignment="1">
      <x:alignment vertical="center"/>
    </x:xf>
    <x:xf numFmtId="200" fontId="9" fillId="28" borderId="0" xfId="0" applyNumberFormat="1" applyFont="1" applyFill="1" applyBorder="1" applyAlignment="1">
      <x:alignment vertical="center"/>
    </x:xf>
    <x:xf numFmtId="0" fontId="9" fillId="28" borderId="0" xfId="0" applyNumberFormat="1" applyFont="1" applyFill="1" applyBorder="1" applyAlignment="1">
      <x:alignment vertical="center" wrapText="1"/>
    </x:xf>
    <x:xf numFmtId="0" fontId="3" fillId="28" borderId="0" xfId="0" applyNumberFormat="1" applyFont="1" applyFill="1" applyBorder="1" applyAlignment="1">
      <x:alignment vertical="center"/>
    </x:xf>
    <x:xf numFmtId="200" fontId="3" fillId="28" borderId="0" xfId="0" applyNumberFormat="1" applyFont="1" applyFill="1" applyBorder="1" applyAlignment="1">
      <x:alignment vertical="center"/>
    </x:xf>
    <x:xf numFmtId="0" fontId="3" fillId="28" borderId="0" xfId="0" applyNumberFormat="1" applyFont="1" applyFill="1" applyBorder="1" applyAlignment="1">
      <x:alignment vertical="center" wrapText="1"/>
    </x:xf>
    <x:xf numFmtId="0" fontId="9" fillId="29" borderId="0" xfId="0" applyNumberFormat="1" applyFont="1" applyFill="1" applyBorder="1" applyAlignment="1">
      <x:alignment vertical="center"/>
    </x:xf>
    <x:xf numFmtId="0" fontId="9" fillId="29" borderId="0" xfId="0" applyNumberFormat="1" applyFont="1" applyFill="1" applyBorder="1" applyAlignment="1">
      <x:alignment vertical="center" wrapText="1"/>
    </x:xf>
    <x:xf numFmtId="0" fontId="10" fillId="29" borderId="0" xfId="0" applyNumberFormat="1" applyFont="1" applyFill="1" applyBorder="1" applyAlignment="1">
      <x:alignment vertical="center"/>
    </x:xf>
    <x:xf numFmtId="0" fontId="10" fillId="29" borderId="0" xfId="0" applyNumberFormat="1" applyFont="1" applyFill="1" applyBorder="1" applyAlignment="1">
      <x:alignment vertical="center" wrapText="1"/>
    </x:xf>
    <x:xf numFmtId="0" fontId="9" fillId="30" borderId="0" xfId="0" applyNumberFormat="1" applyFont="1" applyFill="1" applyBorder="1" applyAlignment="1">
      <x:alignment vertical="center"/>
    </x:xf>
    <x:xf numFmtId="0" fontId="9" fillId="30" borderId="0" xfId="0" applyNumberFormat="1" applyFont="1" applyFill="1" applyBorder="1" applyAlignment="1">
      <x:alignment vertical="center" wrapText="1"/>
    </x:xf>
    <x:xf numFmtId="0" fontId="11" fillId="30" borderId="0" xfId="0" applyNumberFormat="1" applyFont="1" applyFill="1" applyBorder="1" applyAlignment="1">
      <x:alignment vertical="center"/>
    </x:xf>
    <x:xf numFmtId="0" fontId="11" fillId="30" borderId="0" xfId="0" applyNumberFormat="1" applyFont="1" applyFill="1" applyBorder="1" applyAlignment="1">
      <x:alignment vertical="center" wrapText="1"/>
    </x:xf>
    <x:xf numFmtId="200" fontId="10" fillId="29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8" fillId="18" borderId="0" xfId="0" applyNumberFormat="1" applyFont="1" applyFill="1" applyBorder="1" applyAlignment="1">
      <x:alignment horizontal="center" vertical="center"/>
    </x:xf>
    <x:xf numFmtId="0" fontId="5" fillId="27" borderId="0" xfId="0" applyNumberFormat="1" applyFont="1" applyFill="1" applyBorder="1" applyAlignment="1">
      <x:alignment horizontal="center" vertical="center"/>
    </x:xf>
    <x:xf numFmtId="200" fontId="5" fillId="27" borderId="0" xfId="0" applyNumberFormat="1" applyFont="1" applyFill="1" applyBorder="1" applyAlignment="1">
      <x:alignment horizontal="center" vertical="center"/>
    </x:xf>
    <x:xf numFmtId="0" fontId="2" fillId="19" borderId="0" xfId="0" applyNumberFormat="1" applyFont="1" applyFill="1" applyBorder="1" applyAlignment="1">
      <x:alignment horizontal="center" vertical="center"/>
    </x:xf>
    <x:xf numFmtId="0" fontId="9" fillId="0" borderId="0" xfId="0" applyNumberFormat="1" applyFont="1" applyFill="1" applyBorder="1" applyAlignment="1">
      <x:alignment horizontal="center" vertical="center"/>
    </x:xf>
    <x:xf numFmtId="200" fontId="9" fillId="0" borderId="0" xfId="0" applyNumberFormat="1" applyFont="1" applyFill="1" applyBorder="1" applyAlignment="1">
      <x:alignment horizontal="center" vertical="center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2" fillId="20" borderId="0" xfId="0" applyNumberFormat="1" applyFont="1" applyFill="1" applyBorder="1" applyAlignment="1">
      <x:alignment horizontal="center" vertical="center"/>
    </x:xf>
    <x:xf numFmtId="200" fontId="12" fillId="20" borderId="0" xfId="0" applyNumberFormat="1" applyFont="1" applyFill="1" applyBorder="1" applyAlignment="1">
      <x:alignment horizontal="center" vertical="center"/>
    </x:xf>
    <x:xf numFmtId="0" fontId="12" fillId="20" borderId="0" xfId="0" applyNumberFormat="1" applyFont="1" applyFill="1" applyBorder="1" applyAlignment="1">
      <x:alignment horizontal="center" vertical="center" wrapText="1"/>
    </x:xf>
    <x:xf numFmtId="0" fontId="3" fillId="20" borderId="0" xfId="0" applyNumberFormat="1" applyFont="1" applyFill="1" applyBorder="1" applyAlignment="1">
      <x:alignment horizontal="center" vertical="center"/>
    </x:xf>
    <x:xf numFmtId="200" fontId="3" fillId="20" borderId="0" xfId="0" applyNumberFormat="1" applyFont="1" applyFill="1" applyBorder="1" applyAlignment="1">
      <x:alignment horizontal="center" vertical="center"/>
    </x:xf>
    <x:xf numFmtId="0" fontId="3" fillId="20" borderId="0" xfId="0" applyNumberFormat="1" applyFont="1" applyFill="1" applyBorder="1" applyAlignment="1">
      <x:alignment horizontal="center" vertical="center" wrapText="1"/>
    </x:xf>
    <x:xf numFmtId="0" fontId="12" fillId="2" borderId="0" xfId="0" applyNumberFormat="1" applyFont="1" applyFill="1" applyBorder="1" applyAlignment="1">
      <x:alignment horizontal="center" vertical="center"/>
    </x:xf>
    <x:xf numFmtId="200" fontId="12" fillId="2" borderId="0" xfId="0" applyNumberFormat="1" applyFont="1" applyFill="1" applyBorder="1" applyAlignment="1">
      <x:alignment horizontal="center" vertical="center"/>
    </x:xf>
    <x:xf numFmtId="0" fontId="12" fillId="2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/>
    </x:xf>
    <x:xf numFmtId="200" fontId="10" fillId="2" borderId="0" xfId="0" applyNumberFormat="1" applyFont="1" applyFill="1" applyBorder="1" applyAlignment="1">
      <x:alignment horizontal="center" vertical="center"/>
    </x:xf>
    <x:xf numFmtId="0" fontId="10" fillId="2" borderId="0" xfId="0" applyNumberFormat="1" applyFont="1" applyFill="1" applyBorder="1" applyAlignment="1">
      <x:alignment horizontal="center" vertical="center" wrapText="1"/>
    </x:xf>
    <x:xf numFmtId="0" fontId="9" fillId="4" borderId="0" xfId="0" applyNumberFormat="1" applyFont="1" applyFill="1" applyBorder="1" applyAlignment="1">
      <x:alignment horizontal="center" vertical="center" wrapText="1"/>
    </x:xf>
    <x:xf numFmtId="0" fontId="11" fillId="4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 applyAlignment="1">
      <x:alignment horizontal="center"/>
    </x:xf>
    <x:xf numFmtId="200" fontId="0" fillId="4" borderId="0" xfId="0" applyNumberFormat="1" applyFont="1" applyFill="1" applyBorder="1" applyAlignment="1">
      <x:alignment horizontal="center"/>
    </x:xf>
    <x:xf numFmtId="200" fontId="0" fillId="3" borderId="0" xfId="0" applyNumberFormat="1" applyFont="1" applyFill="1" applyBorder="1" applyAlignment="1">
      <x:alignment horizontal="center"/>
    </x:xf>
    <x:xf numFmtId="201" fontId="0" fillId="4" borderId="0" xfId="0" applyNumberFormat="1" applyFont="1" applyFill="1" applyBorder="1" applyAlignment="1">
      <x:alignment horizontal="center"/>
    </x:xf>
    <x:xf numFmtId="202" fontId="0" fillId="4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/>
    </x:xf>
    <x:xf numFmtId="200" fontId="4" fillId="0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/>
    </x:xf>
    <x:xf numFmtId="200" fontId="4" fillId="3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horizontal="center" vertical="center"/>
    </x:xf>
    <x:xf numFmtId="200" fontId="5" fillId="3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/>
    </x:xf>
    <x:xf numFmtId="200" fontId="3" fillId="3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/>
    </x:xf>
    <x:xf numFmtId="204" fontId="4" fillId="0" borderId="0" xfId="0" applyNumberFormat="1" applyFont="1" applyFill="1" applyBorder="1" applyAlignment="1">
      <x:alignment horizontal="center" vertical="center"/>
    </x:xf>
    <x:xf numFmtId="205" fontId="4" fillId="0" borderId="0" xfId="0" applyNumberFormat="1" applyFont="1" applyFill="1" applyBorder="1" applyAlignment="1">
      <x:alignment horizontal="center" vertical="center"/>
    </x:xf>
    <x:xf numFmtId="205" fontId="5" fillId="3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 applyAlignment="1">
      <x:alignment horizontal="center" vertical="center"/>
    </x:xf>
    <x:xf numFmtId="200" fontId="0" fillId="4" borderId="0" xfId="0" applyNumberFormat="1" applyFont="1" applyFill="1" applyBorder="1" applyAlignment="1">
      <x:alignment horizontal="center" vertical="center"/>
    </x:xf>
    <x:xf numFmtId="200" fontId="0" fillId="3" borderId="0" xfId="0" applyNumberFormat="1" applyFont="1" applyFill="1" applyBorder="1" applyAlignment="1">
      <x:alignment horizontal="center" vertical="center"/>
    </x:xf>
    <x:xf numFmtId="201" fontId="0" fillId="4" borderId="0" xfId="0" applyNumberFormat="1" applyFont="1" applyFill="1" applyBorder="1" applyAlignment="1">
      <x:alignment horizontal="center" vertical="center"/>
    </x:xf>
    <x:xf numFmtId="202" fontId="0" fillId="4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 vertical="center"/>
    </x:xf>
    <x:xf numFmtId="200" fontId="3" fillId="3" borderId="0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horizontal="center" vertical="center" wrapText="1"/>
    </x:xf>
    <x:xf numFmtId="202" fontId="4" fillId="0" borderId="0" xfId="0" applyNumberFormat="1" applyFont="1" applyFill="1" applyBorder="1" applyAlignment="1">
      <x:alignment horizontal="center" vertical="center"/>
    </x:xf>
    <x:xf numFmtId="203" fontId="4" fillId="0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horizontal="center" vertical="center" wrapText="1"/>
    </x:xf>
    <x:xf numFmtId="203" fontId="4" fillId="0" borderId="0" xfId="0" applyNumberFormat="1" applyFont="1" applyFill="1" applyBorder="1" applyAlignment="1">
      <x:alignment horizontal="center"/>
    </x:xf>
    <x:xf numFmtId="203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202" fontId="4" fillId="4" borderId="0" xfId="0" applyNumberFormat="1" applyFont="1" applyFill="1" applyBorder="1" applyAlignment="1">
      <x:alignment horizontal="center" vertical="center"/>
    </x:xf>
    <x:xf numFmtId="203" fontId="4" fillId="4" borderId="0" xfId="0" applyNumberFormat="1" applyFont="1" applyFill="1" applyBorder="1" applyAlignment="1">
      <x:alignment horizontal="center" vertical="center"/>
    </x:xf>
    <x:xf numFmtId="200" fontId="4" fillId="4" borderId="0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 applyAlignment="1">
      <x:alignment horizontal="center" vertical="center" wrapText="1"/>
    </x:xf>
    <x:xf numFmtId="200" fontId="4" fillId="0" borderId="0" xfId="0" applyNumberFormat="1" applyFont="1" applyFill="1" applyBorder="1" applyAlignment="1">
      <x:alignment horizontal="center" vertical="center" wrapText="1"/>
    </x:xf>
    <x:xf numFmtId="200" fontId="4" fillId="4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201" fontId="4" fillId="0" borderId="0" xfId="0" applyNumberFormat="1" applyFont="1" applyFill="1" applyBorder="1" applyAlignment="1">
      <x:alignment horizontal="center" vertical="center"/>
    </x:xf>
    <x:xf numFmtId="0" fontId="12" fillId="31" borderId="0" xfId="0" applyNumberFormat="1" applyFont="1" applyFill="1" applyBorder="1" applyAlignment="1">
      <x:alignment horizontal="center" vertical="center"/>
    </x:xf>
    <x:xf numFmtId="200" fontId="12" fillId="31" borderId="0" xfId="0" applyNumberFormat="1" applyFont="1" applyFill="1" applyBorder="1" applyAlignment="1">
      <x:alignment horizontal="center" vertical="center"/>
    </x:xf>
    <x:xf numFmtId="0" fontId="12" fillId="31" borderId="0" xfId="0" applyNumberFormat="1" applyFont="1" applyFill="1" applyBorder="1" applyAlignment="1">
      <x:alignment horizontal="center" vertical="center" wrapText="1"/>
    </x:xf>
    <x:xf numFmtId="0" fontId="3" fillId="31" borderId="0" xfId="0" applyNumberFormat="1" applyFont="1" applyFill="1" applyBorder="1" applyAlignment="1">
      <x:alignment horizontal="center" vertical="center"/>
    </x:xf>
    <x:xf numFmtId="200" fontId="3" fillId="31" borderId="0" xfId="0" applyNumberFormat="1" applyFont="1" applyFill="1" applyBorder="1" applyAlignment="1">
      <x:alignment horizontal="center" vertical="center"/>
    </x:xf>
    <x:xf numFmtId="0" fontId="3" fillId="31" borderId="0" xfId="0" applyNumberFormat="1" applyFont="1" applyFill="1" applyBorder="1" applyAlignment="1">
      <x:alignment horizontal="center" vertical="center" wrapText="1"/>
    </x:xf>
    <x:xf numFmtId="0" fontId="12" fillId="32" borderId="0" xfId="0" applyNumberFormat="1" applyFont="1" applyFill="1" applyBorder="1" applyAlignment="1">
      <x:alignment horizontal="center" vertical="center"/>
    </x:xf>
    <x:xf numFmtId="200" fontId="12" fillId="32" borderId="0" xfId="0" applyNumberFormat="1" applyFont="1" applyFill="1" applyBorder="1" applyAlignment="1">
      <x:alignment horizontal="center" vertical="center"/>
    </x:xf>
    <x:xf numFmtId="0" fontId="12" fillId="32" borderId="0" xfId="0" applyNumberFormat="1" applyFont="1" applyFill="1" applyBorder="1" applyAlignment="1">
      <x:alignment horizontal="center" vertical="center" wrapText="1"/>
    </x:xf>
    <x:xf numFmtId="0" fontId="10" fillId="32" borderId="0" xfId="0" applyNumberFormat="1" applyFont="1" applyFill="1" applyBorder="1" applyAlignment="1">
      <x:alignment horizontal="center" vertical="center"/>
    </x:xf>
    <x:xf numFmtId="200" fontId="10" fillId="32" borderId="0" xfId="0" applyNumberFormat="1" applyFont="1" applyFill="1" applyBorder="1" applyAlignment="1">
      <x:alignment horizontal="center" vertical="center"/>
    </x:xf>
    <x:xf numFmtId="0" fontId="10" fillId="32" borderId="0" xfId="0" applyNumberFormat="1" applyFont="1" applyFill="1" applyBorder="1" applyAlignment="1">
      <x:alignment horizontal="center" vertical="center" wrapText="1"/>
    </x:xf>
    <x:xf numFmtId="0" fontId="9" fillId="33" borderId="0" xfId="0" applyNumberFormat="1" applyFont="1" applyFill="1" applyBorder="1" applyAlignment="1">
      <x:alignment horizontal="center" vertical="center" wrapText="1"/>
    </x:xf>
    <x:xf numFmtId="0" fontId="11" fillId="33" borderId="0" xfId="0" applyNumberFormat="1" applyFont="1" applyFill="1" applyBorder="1" applyAlignment="1">
      <x:alignment horizontal="center" vertical="center" wrapText="1"/>
    </x:xf>
    <x:xf numFmtId="0" fontId="12" fillId="34" borderId="0" xfId="0" applyNumberFormat="1" applyFont="1" applyFill="1" applyBorder="1" applyAlignment="1">
      <x:alignment horizontal="center" vertical="center"/>
    </x:xf>
    <x:xf numFmtId="200" fontId="12" fillId="34" borderId="0" xfId="0" applyNumberFormat="1" applyFont="1" applyFill="1" applyBorder="1" applyAlignment="1">
      <x:alignment horizontal="center" vertical="center"/>
    </x:xf>
    <x:xf numFmtId="0" fontId="12" fillId="34" borderId="0" xfId="0" applyNumberFormat="1" applyFont="1" applyFill="1" applyBorder="1" applyAlignment="1">
      <x:alignment horizontal="center" vertical="center" wrapText="1"/>
    </x:xf>
    <x:xf numFmtId="0" fontId="3" fillId="34" borderId="0" xfId="0" applyNumberFormat="1" applyFont="1" applyFill="1" applyBorder="1" applyAlignment="1">
      <x:alignment horizontal="center" vertical="center"/>
    </x:xf>
    <x:xf numFmtId="200" fontId="3" fillId="34" borderId="0" xfId="0" applyNumberFormat="1" applyFont="1" applyFill="1" applyBorder="1" applyAlignment="1">
      <x:alignment horizontal="center" vertical="center"/>
    </x:xf>
    <x:xf numFmtId="0" fontId="3" fillId="34" borderId="0" xfId="0" applyNumberFormat="1" applyFont="1" applyFill="1" applyBorder="1" applyAlignment="1">
      <x:alignment horizontal="center" vertical="center" wrapText="1"/>
    </x:xf>
    <x:xf numFmtId="0" fontId="12" fillId="35" borderId="0" xfId="0" applyNumberFormat="1" applyFont="1" applyFill="1" applyBorder="1" applyAlignment="1">
      <x:alignment horizontal="center" vertical="center"/>
    </x:xf>
    <x:xf numFmtId="200" fontId="12" fillId="35" borderId="0" xfId="0" applyNumberFormat="1" applyFont="1" applyFill="1" applyBorder="1" applyAlignment="1">
      <x:alignment horizontal="center" vertical="center"/>
    </x:xf>
    <x:xf numFmtId="0" fontId="12" fillId="35" borderId="0" xfId="0" applyNumberFormat="1" applyFont="1" applyFill="1" applyBorder="1" applyAlignment="1">
      <x:alignment horizontal="center" vertical="center" wrapText="1"/>
    </x:xf>
    <x:xf numFmtId="0" fontId="12" fillId="36" borderId="0" xfId="0" applyNumberFormat="1" applyFont="1" applyFill="1" applyBorder="1" applyAlignment="1">
      <x:alignment horizontal="center" vertical="center"/>
    </x:xf>
    <x:xf numFmtId="200" fontId="12" fillId="36" borderId="0" xfId="0" applyNumberFormat="1" applyFont="1" applyFill="1" applyBorder="1" applyAlignment="1">
      <x:alignment horizontal="center" vertical="center"/>
    </x:xf>
    <x:xf numFmtId="0" fontId="12" fillId="36" borderId="0" xfId="0" applyNumberFormat="1" applyFont="1" applyFill="1" applyBorder="1" applyAlignment="1">
      <x:alignment horizontal="center" vertical="center" wrapText="1"/>
    </x:xf>
    <x:xf numFmtId="0" fontId="10" fillId="36" borderId="0" xfId="0" applyNumberFormat="1" applyFont="1" applyFill="1" applyBorder="1" applyAlignment="1">
      <x:alignment horizontal="center" vertical="center"/>
    </x:xf>
    <x:xf numFmtId="200" fontId="10" fillId="36" borderId="0" xfId="0" applyNumberFormat="1" applyFont="1" applyFill="1" applyBorder="1" applyAlignment="1">
      <x:alignment horizontal="center" vertical="center"/>
    </x:xf>
    <x:xf numFmtId="0" fontId="10" fillId="36" borderId="0" xfId="0" applyNumberFormat="1" applyFont="1" applyFill="1" applyBorder="1" applyAlignment="1">
      <x:alignment horizontal="center" vertical="center" wrapText="1"/>
    </x:xf>
    <x:xf numFmtId="0" fontId="9" fillId="37" borderId="0" xfId="0" applyNumberFormat="1" applyFont="1" applyFill="1" applyBorder="1" applyAlignment="1">
      <x:alignment horizontal="center" vertical="center" wrapText="1"/>
    </x:xf>
    <x:xf numFmtId="0" fontId="11" fillId="37" borderId="0" xfId="0" applyNumberFormat="1" applyFont="1" applyFill="1" applyBorder="1" applyAlignment="1">
      <x:alignment horizontal="center" vertical="center" wrapText="1"/>
    </x:xf>
    <x:xf numFmtId="200" fontId="9" fillId="0" borderId="0" xfId="0" applyNumberFormat="1" applyFont="1" applyFill="1" applyBorder="1" applyAlignment="1">
      <x:alignment horizontal="center" vertical="center" wrapText="1"/>
    </x:xf>
    <x:xf numFmtId="200" fontId="12" fillId="20" borderId="0" xfId="0" applyNumberFormat="1" applyFont="1" applyFill="1" applyBorder="1" applyAlignment="1">
      <x:alignment horizontal="center" vertical="center" wrapText="1"/>
    </x:xf>
    <x:xf numFmtId="200" fontId="12" fillId="35" borderId="0" xfId="0" applyNumberFormat="1" applyFont="1" applyFill="1" applyBorder="1" applyAlignment="1">
      <x:alignment horizontal="center" vertical="center" wrapText="1"/>
    </x:xf>
    <x:xf numFmtId="200" fontId="12" fillId="2" borderId="0" xfId="0" applyNumberFormat="1" applyFont="1" applyFill="1" applyBorder="1" applyAlignment="1">
      <x:alignment horizontal="center" vertical="center" wrapText="1"/>
    </x:xf>
    <x:xf numFmtId="0" fontId="9" fillId="38" borderId="0" xfId="0" applyNumberFormat="1" applyFont="1" applyFill="1" applyBorder="1" applyAlignment="1">
      <x:alignment horizontal="center" vertical="center" wrapText="1"/>
    </x:xf>
    <x:xf numFmtId="200" fontId="9" fillId="38" borderId="0" xfId="0" applyNumberFormat="1" applyFont="1" applyFill="1" applyBorder="1" applyAlignment="1">
      <x:alignment horizontal="center" vertical="center" wrapText="1"/>
    </x:xf>
    <x:xf numFmtId="0" fontId="12" fillId="38" borderId="0" xfId="0" applyNumberFormat="1" applyFont="1" applyFill="1" applyBorder="1" applyAlignment="1">
      <x:alignment horizontal="center" vertical="center" wrapText="1"/>
    </x:xf>
    <x:xf numFmtId="200" fontId="12" fillId="38" borderId="0" xfId="0" applyNumberFormat="1" applyFont="1" applyFill="1" applyBorder="1" applyAlignment="1">
      <x:alignment horizontal="center" vertical="center" wrapText="1"/>
    </x:xf>
    <x:xf numFmtId="0" fontId="12" fillId="39" borderId="0" xfId="0" applyNumberFormat="1" applyFont="1" applyFill="1" applyBorder="1" applyAlignment="1">
      <x:alignment horizontal="center" vertical="center" wrapText="1"/>
    </x:xf>
    <x:xf numFmtId="200" fontId="12" fillId="39" borderId="0" xfId="0" applyNumberFormat="1" applyFont="1" applyFill="1" applyBorder="1" applyAlignment="1">
      <x:alignment horizontal="center" vertical="center" wrapText="1"/>
    </x:xf>
    <x:xf numFmtId="0" fontId="3" fillId="39" borderId="0" xfId="0" applyNumberFormat="1" applyFont="1" applyFill="1" applyBorder="1" applyAlignment="1">
      <x:alignment horizontal="center" vertical="center" wrapText="1"/>
    </x:xf>
    <x:xf numFmtId="200" fontId="3" fillId="39" borderId="0" xfId="0" applyNumberFormat="1" applyFont="1" applyFill="1" applyBorder="1" applyAlignment="1">
      <x:alignment horizontal="center" vertical="center" wrapText="1"/>
    </x:xf>
    <x:xf numFmtId="0" fontId="12" fillId="40" borderId="0" xfId="0" applyNumberFormat="1" applyFont="1" applyFill="1" applyBorder="1" applyAlignment="1">
      <x:alignment horizontal="center" vertical="center" wrapText="1"/>
    </x:xf>
    <x:xf numFmtId="200" fontId="12" fillId="40" borderId="0" xfId="0" applyNumberFormat="1" applyFont="1" applyFill="1" applyBorder="1" applyAlignment="1">
      <x:alignment horizontal="center" vertical="center" wrapText="1"/>
    </x:xf>
    <x:xf numFmtId="0" fontId="10" fillId="40" borderId="0" xfId="0" applyNumberFormat="1" applyFont="1" applyFill="1" applyBorder="1" applyAlignment="1">
      <x:alignment horizontal="center" vertical="center" wrapText="1"/>
    </x:xf>
    <x:xf numFmtId="200" fontId="10" fillId="40" borderId="0" xfId="0" applyNumberFormat="1" applyFont="1" applyFill="1" applyBorder="1" applyAlignment="1">
      <x:alignment horizontal="center" vertical="center" wrapText="1"/>
    </x:xf>
    <x:xf numFmtId="0" fontId="9" fillId="41" borderId="0" xfId="0" applyNumberFormat="1" applyFont="1" applyFill="1" applyBorder="1" applyAlignment="1">
      <x:alignment horizontal="center" vertical="center" wrapText="1"/>
    </x:xf>
    <x:xf numFmtId="0" fontId="11" fillId="41" borderId="0" xfId="0" applyNumberFormat="1" applyFont="1" applyFill="1" applyBorder="1" applyAlignment="1">
      <x:alignment horizontal="center" vertical="center" wrapText="1"/>
    </x:xf>
    <x:xf numFmtId="0" fontId="9" fillId="35" borderId="0" xfId="0" applyNumberFormat="1" applyFont="1" applyFill="1" applyBorder="1" applyAlignment="1">
      <x:alignment horizontal="center" vertical="center" wrapText="1"/>
    </x:xf>
    <x:xf numFmtId="200" fontId="9" fillId="35" borderId="0" xfId="0" applyNumberFormat="1" applyFont="1" applyFill="1" applyBorder="1" applyAlignment="1">
      <x:alignment horizontal="center" vertical="center" wrapText="1"/>
    </x:xf>
    <x:xf numFmtId="0" fontId="12" fillId="42" borderId="0" xfId="0" applyNumberFormat="1" applyFont="1" applyFill="1" applyBorder="1" applyAlignment="1">
      <x:alignment horizontal="center" vertical="center" wrapText="1"/>
    </x:xf>
    <x:xf numFmtId="200" fontId="12" fillId="42" borderId="0" xfId="0" applyNumberFormat="1" applyFont="1" applyFill="1" applyBorder="1" applyAlignment="1">
      <x:alignment horizontal="center" vertical="center" wrapText="1"/>
    </x:xf>
    <x:xf numFmtId="0" fontId="9" fillId="42" borderId="0" xfId="0" applyNumberFormat="1" applyFont="1" applyFill="1" applyBorder="1" applyAlignment="1">
      <x:alignment horizontal="center" vertical="center" wrapText="1"/>
    </x:xf>
    <x:xf numFmtId="200" fontId="9" fillId="42" borderId="0" xfId="0" applyNumberFormat="1" applyFont="1" applyFill="1" applyBorder="1" applyAlignment="1">
      <x:alignment horizontal="center" vertical="center" wrapText="1"/>
    </x:xf>
    <x:xf numFmtId="0" fontId="12" fillId="43" borderId="0" xfId="0" applyNumberFormat="1" applyFont="1" applyFill="1" applyBorder="1" applyAlignment="1">
      <x:alignment horizontal="center" vertical="center" wrapText="1"/>
    </x:xf>
    <x:xf numFmtId="200" fontId="12" fillId="43" borderId="0" xfId="0" applyNumberFormat="1" applyFont="1" applyFill="1" applyBorder="1" applyAlignment="1">
      <x:alignment horizontal="center" vertical="center" wrapText="1"/>
    </x:xf>
    <x:xf numFmtId="0" fontId="3" fillId="43" borderId="0" xfId="0" applyNumberFormat="1" applyFont="1" applyFill="1" applyBorder="1" applyAlignment="1">
      <x:alignment horizontal="center" vertical="center" wrapText="1"/>
    </x:xf>
    <x:xf numFmtId="200" fontId="3" fillId="43" borderId="0" xfId="0" applyNumberFormat="1" applyFont="1" applyFill="1" applyBorder="1" applyAlignment="1">
      <x:alignment horizontal="center" vertical="center" wrapText="1"/>
    </x:xf>
    <x:xf numFmtId="0" fontId="12" fillId="44" borderId="0" xfId="0" applyNumberFormat="1" applyFont="1" applyFill="1" applyBorder="1" applyAlignment="1">
      <x:alignment horizontal="center" vertical="center" wrapText="1"/>
    </x:xf>
    <x:xf numFmtId="200" fontId="12" fillId="44" borderId="0" xfId="0" applyNumberFormat="1" applyFont="1" applyFill="1" applyBorder="1" applyAlignment="1">
      <x:alignment horizontal="center" vertical="center" wrapText="1"/>
    </x:xf>
    <x:xf numFmtId="0" fontId="10" fillId="44" borderId="0" xfId="0" applyNumberFormat="1" applyFont="1" applyFill="1" applyBorder="1" applyAlignment="1">
      <x:alignment horizontal="center" vertical="center" wrapText="1"/>
    </x:xf>
    <x:xf numFmtId="200" fontId="10" fillId="44" borderId="0" xfId="0" applyNumberFormat="1" applyFont="1" applyFill="1" applyBorder="1" applyAlignment="1">
      <x:alignment horizontal="center" vertical="center" wrapText="1"/>
    </x:xf>
    <x:xf numFmtId="0" fontId="9" fillId="45" borderId="0" xfId="0" applyNumberFormat="1" applyFont="1" applyFill="1" applyBorder="1" applyAlignment="1">
      <x:alignment horizontal="center" vertical="center" wrapText="1"/>
    </x:xf>
    <x:xf numFmtId="0" fontId="11" fillId="45" borderId="0" xfId="0" applyNumberFormat="1" applyFont="1" applyFill="1" applyBorder="1" applyAlignment="1">
      <x:alignment horizontal="center" vertical="center" wrapText="1"/>
    </x:xf>
    <x:xf numFmtId="0" fontId="0" fillId="46" borderId="0" xfId="0" applyNumberFormat="1" applyFont="1" applyFill="1" applyBorder="1"/>
    <x:xf numFmtId="0" fontId="1" fillId="46" borderId="0" xfId="0" applyNumberFormat="1" applyFont="1" applyFill="1" applyBorder="1"/>
    <x:xf numFmtId="0" fontId="1" fillId="46" borderId="0" xfId="0" applyNumberFormat="1" applyFont="1" applyFill="1" applyBorder="1" applyAlignment="1">
      <x:alignment horizontal="center"/>
    </x:xf>
    <x:xf numFmtId="0" fontId="1" fillId="46" borderId="0" xfId="0" applyNumberFormat="1" applyFont="1" applyFill="1" applyBorder="1" applyAlignment="1">
      <x:alignment horizontal="center" vertical="center"/>
    </x:xf>
    <x:xf numFmtId="0" fontId="0" fillId="47" borderId="0" xfId="0" applyNumberFormat="1" applyFont="1" applyFill="1" applyBorder="1"/>
    <x:xf numFmtId="0" fontId="6" fillId="47" borderId="0" xfId="0" applyNumberFormat="1" applyFont="1" applyFill="1" applyBorder="1"/>
    <x:xf numFmtId="0" fontId="6" fillId="47" borderId="0" xfId="0" applyNumberFormat="1" applyFont="1" applyFill="1" applyBorder="1" applyAlignment="1">
      <x:alignment wrapText="1"/>
    </x:xf>
    <x:xf numFmtId="0" fontId="6" fillId="47" borderId="0" xfId="0" applyNumberFormat="1" applyFont="1" applyFill="1" applyBorder="1" applyAlignment="1">
      <x:alignment horizontal="center" wrapText="1"/>
    </x:xf>
    <x:xf numFmtId="0" fontId="6" fillId="47" borderId="0" xfId="0" applyNumberFormat="1" applyFont="1" applyFill="1" applyBorder="1" applyAlignment="1">
      <x:alignment horizontal="center" vertical="center" wrapText="1"/>
    </x:xf>
    <x:xf numFmtId="0" fontId="0" fillId="48" borderId="0" xfId="0" applyNumberFormat="1" applyFont="1" applyFill="1" applyBorder="1"/>
    <x:xf numFmtId="0" fontId="3" fillId="48" borderId="0" xfId="0" applyNumberFormat="1" applyFont="1" applyFill="1" applyBorder="1"/>
    <x:xf numFmtId="0" fontId="3" fillId="48" borderId="0" xfId="0" applyNumberFormat="1" applyFont="1" applyFill="1" applyBorder="1" applyAlignment="1">
      <x:alignment horizontal="center"/>
    </x:xf>
    <x:xf numFmtId="0" fontId="3" fillId="48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center" vertical="center" wrapText="1"/>
    </x:xf>
    <x:xf numFmtId="203" fontId="0" fillId="0" borderId="0" xfId="0" applyNumberFormat="1" applyFont="1" applyFill="1" applyBorder="1" applyAlignment="1">
      <x:alignment horizontal="center" vertical="center"/>
    </x:xf>
    <x:xf numFmtId="203" fontId="3" fillId="48" borderId="0" xfId="0" applyNumberFormat="1" applyFont="1" applyFill="1" applyBorder="1" applyAlignment="1">
      <x:alignment horizontal="center" vertical="center"/>
    </x:xf>
    <x:xf numFmtId="200" fontId="3" fillId="48" borderId="0" xfId="0" applyNumberFormat="1" applyFont="1" applyFill="1" applyBorder="1" applyAlignment="1">
      <x:alignment horizontal="center" vertical="center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/>
    </x:xf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 applyAlignment="1">
      <x:alignment horizontal="center" vertical="center"/>
    </x:xf>
    <x:xf numFmtId="201" fontId="13" fillId="0" borderId="0" xfId="0" applyNumberFormat="1" applyFont="1" applyFill="1" applyBorder="1" applyAlignment="1">
      <x:alignment horizontal="center" vertical="center"/>
    </x:xf>
    <x:xf numFmtId="0" fontId="3" fillId="48" borderId="0" xfId="0" applyNumberFormat="1" applyFont="1" applyFill="1" applyBorder="1" applyAlignment="1">
      <x:alignment horizontal="center" vertical="center" wrapText="1"/>
    </x:xf>
    <x:xf numFmtId="0" fontId="12" fillId="49" borderId="0" xfId="0" applyNumberFormat="1" applyFont="1" applyFill="1" applyBorder="1" applyAlignment="1">
      <x:alignment horizontal="center" vertical="center" wrapText="1"/>
    </x:xf>
    <x:xf numFmtId="200" fontId="12" fillId="49" borderId="0" xfId="0" applyNumberFormat="1" applyFont="1" applyFill="1" applyBorder="1" applyAlignment="1">
      <x:alignment horizontal="center" vertical="center" wrapText="1"/>
    </x:xf>
    <x:xf numFmtId="0" fontId="9" fillId="49" borderId="0" xfId="0" applyNumberFormat="1" applyFont="1" applyFill="1" applyBorder="1" applyAlignment="1">
      <x:alignment horizontal="center" vertical="center" wrapText="1"/>
    </x:xf>
    <x:xf numFmtId="0" fontId="12" fillId="48" borderId="0" xfId="0" applyNumberFormat="1" applyFont="1" applyFill="1" applyBorder="1" applyAlignment="1">
      <x:alignment horizontal="center" vertical="center" wrapText="1"/>
    </x:xf>
    <x:xf numFmtId="200" fontId="12" fillId="48" borderId="0" xfId="0" applyNumberFormat="1" applyFont="1" applyFill="1" applyBorder="1" applyAlignment="1">
      <x:alignment horizontal="center" vertical="center" wrapText="1"/>
    </x:xf>
    <x:xf numFmtId="200" fontId="3" fillId="48" borderId="0" xfId="0" applyNumberFormat="1" applyFont="1" applyFill="1" applyBorder="1" applyAlignment="1">
      <x:alignment horizontal="center" vertical="center" wrapText="1"/>
    </x:xf>
    <x:xf numFmtId="0" fontId="12" fillId="46" borderId="0" xfId="0" applyNumberFormat="1" applyFont="1" applyFill="1" applyBorder="1" applyAlignment="1">
      <x:alignment horizontal="center" vertical="center" wrapText="1"/>
    </x:xf>
    <x:xf numFmtId="200" fontId="12" fillId="46" borderId="0" xfId="0" applyNumberFormat="1" applyFont="1" applyFill="1" applyBorder="1" applyAlignment="1">
      <x:alignment horizontal="center" vertical="center" wrapText="1"/>
    </x:xf>
    <x:xf numFmtId="0" fontId="10" fillId="46" borderId="0" xfId="0" applyNumberFormat="1" applyFont="1" applyFill="1" applyBorder="1" applyAlignment="1">
      <x:alignment horizontal="center" vertical="center" wrapText="1"/>
    </x:xf>
    <x:xf numFmtId="200" fontId="10" fillId="46" borderId="0" xfId="0" applyNumberFormat="1" applyFont="1" applyFill="1" applyBorder="1" applyAlignment="1">
      <x:alignment horizontal="center" vertical="center" wrapText="1"/>
    </x:xf>
    <x:xf numFmtId="0" fontId="9" fillId="50" borderId="0" xfId="0" applyNumberFormat="1" applyFont="1" applyFill="1" applyBorder="1" applyAlignment="1">
      <x:alignment horizontal="center" vertical="center" wrapText="1"/>
    </x:xf>
    <x:xf numFmtId="0" fontId="11" fillId="50" borderId="0" xfId="0" applyNumberFormat="1" applyFont="1" applyFill="1" applyBorder="1" applyAlignment="1">
      <x:alignment horizontal="center" vertical="center" wrapText="1"/>
    </x:xf>
    <x:xf numFmtId="0" fontId="6" fillId="51" borderId="0" xfId="0" applyNumberFormat="1" applyFont="1" applyFill="1" applyBorder="1" applyAlignment="1">
      <x:alignment horizontal="center" vertical="center" wrapText="1"/>
    </x:xf>
    <x:xf numFmtId="0" fontId="0" fillId="51" borderId="0" xfId="0" applyNumberFormat="1" applyFont="1" applyFill="1" applyBorder="1"/>
    <x:xf numFmtId="0" fontId="6" fillId="51" borderId="0" xfId="0" applyNumberFormat="1" applyFont="1" applyFill="1" applyBorder="1"/>
    <x:xf numFmtId="0" fontId="6" fillId="51" borderId="0" xfId="0" applyNumberFormat="1" applyFont="1" applyFill="1" applyBorder="1" applyAlignment="1">
      <x:alignment wrapText="1"/>
    </x:xf>
    <x:xf numFmtId="0" fontId="6" fillId="51" borderId="0" xfId="0" applyNumberFormat="1" applyFont="1" applyFill="1" applyBorder="1" applyAlignment="1">
      <x:alignment horizont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4" fillId="0" borderId="0" xfId="0" applyNumberFormat="1" applyFont="1" applyFill="1" applyBorder="1" applyAlignment="1">
      <x:alignment horizontal="center" wrapText="1"/>
    </x:xf>
    <x:xf numFmtId="0" fontId="14" fillId="0" borderId="0" xfId="0" applyNumberFormat="1" applyFont="1" applyFill="1" applyBorder="1" applyAlignment="1">
      <x:alignment horizontal="center" vertical="center" wrapText="1"/>
    </x:xf>
    <x:xf numFmtId="203" fontId="3" fillId="20" borderId="0" xfId="0" applyNumberFormat="1" applyFont="1" applyFill="1" applyBorder="1" applyAlignment="1">
      <x:alignment horizontal="center" vertical="center"/>
    </x:xf>
    <x:xf numFmtId="203" fontId="14" fillId="0" borderId="0" xfId="0" applyNumberFormat="1" applyFont="1" applyFill="1" applyBorder="1" applyAlignment="1">
      <x:alignment horizontal="center" vertical="center" wrapText="1"/>
    </x:xf>
    <x:xf numFmtId="200" fontId="14" fillId="0" borderId="0" xfId="0" applyNumberFormat="1" applyFont="1" applyFill="1" applyBorder="1" applyAlignment="1">
      <x:alignment horizontal="center" vertical="center" wrapText="1"/>
    </x:xf>
    <x:xf numFmtId="0" fontId="0" fillId="52" borderId="0" xfId="0" applyNumberFormat="1" applyFont="1" applyFill="1" applyBorder="1"/>
    <x:xf numFmtId="0" fontId="15" fillId="52" borderId="0" xfId="0" applyNumberFormat="1" applyFont="1" applyFill="1" applyBorder="1"/>
    <x:xf numFmtId="0" fontId="15" fillId="52" borderId="0" xfId="0" applyNumberFormat="1" applyFont="1" applyFill="1" applyBorder="1" applyAlignment="1">
      <x:alignment horizontal="center"/>
    </x:xf>
    <x:xf numFmtId="0" fontId="15" fillId="52" borderId="0" xfId="0" applyNumberFormat="1" applyFont="1" applyFill="1" applyBorder="1" applyAlignment="1">
      <x:alignment horizontal="center" vertical="center"/>
    </x:xf>
    <x:xf numFmtId="0" fontId="3" fillId="53" borderId="0" xfId="0" applyNumberFormat="1" applyFont="1" applyFill="1" applyBorder="1" applyAlignment="1">
      <x:alignment horizontal="center" vertical="center"/>
    </x:xf>
    <x:xf numFmtId="200" fontId="3" fillId="53" borderId="0" xfId="0" applyNumberFormat="1" applyFont="1" applyFill="1" applyBorder="1" applyAlignment="1">
      <x:alignment horizontal="center" vertical="center"/>
    </x:xf>
    <x:xf numFmtId="0" fontId="14" fillId="53" borderId="0" xfId="0" applyNumberFormat="1" applyFont="1" applyFill="1" applyBorder="1" applyAlignment="1">
      <x:alignment horizontal="center" vertical="center" wrapText="1"/>
    </x:xf>
    <x:xf numFmtId="0" fontId="3" fillId="53" borderId="0" xfId="0" applyNumberFormat="1" applyFont="1" applyFill="1" applyBorder="1" applyAlignment="1">
      <x:alignment horizontal="center" vertical="center" wrapText="1"/>
    </x:xf>
    <x:xf numFmtId="200" fontId="3" fillId="53" borderId="0" xfId="0" applyNumberFormat="1" applyFont="1" applyFill="1" applyBorder="1" applyAlignment="1">
      <x:alignment horizontal="center" vertical="center" wrapText="1"/>
    </x:xf>
    <x:xf numFmtId="0" fontId="1" fillId="52" borderId="0" xfId="0" applyNumberFormat="1" applyFont="1" applyFill="1" applyBorder="1"/>
    <x:xf numFmtId="0" fontId="1" fillId="52" borderId="0" xfId="0" applyNumberFormat="1" applyFont="1" applyFill="1" applyBorder="1" applyAlignment="1">
      <x:alignment horizontal="center"/>
    </x:xf>
    <x:xf numFmtId="0" fontId="1" fillId="52" borderId="0" xfId="0" applyNumberFormat="1" applyFont="1" applyFill="1" applyBorder="1" applyAlignment="1">
      <x:alignment horizontal="center" vertical="center"/>
    </x:xf>
    <x:xf numFmtId="0" fontId="0" fillId="53" borderId="0" xfId="0" applyNumberFormat="1" applyFont="1" applyFill="1" applyBorder="1"/>
    <x:xf numFmtId="0" fontId="3" fillId="53" borderId="0" xfId="0" applyNumberFormat="1" applyFont="1" applyFill="1" applyBorder="1"/>
    <x:xf numFmtId="0" fontId="3" fillId="53" borderId="0" xfId="0" applyNumberFormat="1" applyFont="1" applyFill="1" applyBorder="1" applyAlignment="1">
      <x:alignment wrapText="1"/>
    </x:xf>
    <x:xf numFmtId="0" fontId="3" fillId="53" borderId="0" xfId="0" applyNumberFormat="1" applyFont="1" applyFill="1" applyBorder="1" applyAlignment="1">
      <x:alignment horizontal="center" wrapText="1"/>
    </x:xf>
    <x:xf numFmtId="0" fontId="0" fillId="54" borderId="0" xfId="0" applyNumberFormat="1" applyFont="1" applyFill="1" applyBorder="1"/>
    <x:xf numFmtId="0" fontId="1" fillId="54" borderId="0" xfId="0" applyNumberFormat="1" applyFont="1" applyFill="1" applyBorder="1"/>
    <x:xf numFmtId="0" fontId="1" fillId="54" borderId="0" xfId="0" applyNumberFormat="1" applyFont="1" applyFill="1" applyBorder="1" applyAlignment="1">
      <x:alignment horizontal="center"/>
    </x:xf>
    <x:xf numFmtId="0" fontId="1" fillId="54" borderId="0" xfId="0" applyNumberFormat="1" applyFont="1" applyFill="1" applyBorder="1" applyAlignment="1">
      <x:alignment horizontal="center" vertical="center"/>
    </x:xf>
    <x:xf numFmtId="0" fontId="0" fillId="55" borderId="0" xfId="0" applyNumberFormat="1" applyFont="1" applyFill="1" applyBorder="1"/>
    <x:xf numFmtId="0" fontId="6" fillId="55" borderId="0" xfId="0" applyNumberFormat="1" applyFont="1" applyFill="1" applyBorder="1"/>
    <x:xf numFmtId="0" fontId="6" fillId="55" borderId="0" xfId="0" applyNumberFormat="1" applyFont="1" applyFill="1" applyBorder="1" applyAlignment="1">
      <x:alignment wrapText="1"/>
    </x:xf>
    <x:xf numFmtId="0" fontId="6" fillId="55" borderId="0" xfId="0" applyNumberFormat="1" applyFont="1" applyFill="1" applyBorder="1" applyAlignment="1">
      <x:alignment horizontal="center" wrapText="1"/>
    </x:xf>
    <x:xf numFmtId="0" fontId="6" fillId="55" borderId="0" xfId="0" applyNumberFormat="1" applyFont="1" applyFill="1" applyBorder="1" applyAlignment="1">
      <x:alignment horizontal="center" vertical="center" wrapText="1"/>
    </x:xf>
    <x:xf numFmtId="0" fontId="0" fillId="56" borderId="0" xfId="0" applyNumberFormat="1" applyFont="1" applyFill="1" applyBorder="1"/>
    <x:xf numFmtId="0" fontId="3" fillId="56" borderId="0" xfId="0" applyNumberFormat="1" applyFont="1" applyFill="1" applyBorder="1"/>
    <x:xf numFmtId="0" fontId="3" fillId="56" borderId="0" xfId="0" applyNumberFormat="1" applyFont="1" applyFill="1" applyBorder="1" applyAlignment="1">
      <x:alignment horizontal="center"/>
    </x:xf>
    <x:xf numFmtId="0" fontId="3" fillId="56" borderId="0" xfId="0" applyNumberFormat="1" applyFont="1" applyFill="1" applyBorder="1" applyAlignment="1">
      <x:alignment horizontal="center" vertical="center"/>
    </x:xf>
    <x:xf numFmtId="0" fontId="3" fillId="56" borderId="0" xfId="0" applyNumberFormat="1" applyFont="1" applyFill="1" applyBorder="1" applyAlignment="1">
      <x:alignment horizontal="center" vertical="center" wrapText="1"/>
    </x:xf>
    <x:xf numFmtId="203" fontId="3" fillId="56" borderId="0" xfId="0" applyNumberFormat="1" applyFont="1" applyFill="1" applyBorder="1" applyAlignment="1">
      <x:alignment horizontal="center" vertical="center"/>
    </x:xf>
    <x:xf numFmtId="200" fontId="3" fillId="56" borderId="0" xfId="0" applyNumberFormat="1" applyFont="1" applyFill="1" applyBorder="1" applyAlignment="1">
      <x:alignment horizontal="center" vertical="center"/>
    </x:xf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wrapText="1"/>
    </x:xf>
    <x:xf numFmtId="0" fontId="16" fillId="0" borderId="0" xfId="0" applyNumberFormat="1" applyFont="1" applyFill="1" applyBorder="1" applyAlignment="1">
      <x:alignment horizontal="center" wrapText="1"/>
    </x:xf>
    <x:xf numFmtId="0" fontId="16" fillId="0" borderId="0" xfId="0" applyNumberFormat="1" applyFont="1" applyFill="1" applyBorder="1" applyAlignment="1">
      <x:alignment horizontal="center" vertical="center" wrapText="1"/>
    </x:xf>
    <x:xf numFmtId="0" fontId="16" fillId="55" borderId="0" xfId="0" applyNumberFormat="1" applyFont="1" applyFill="1" applyBorder="1" applyAlignment="1">
      <x:alignment horizontal="center" vertical="center" wrapText="1"/>
    </x:xf>
    <x:xf numFmtId="200" fontId="16" fillId="0" borderId="0" xfId="0" applyNumberFormat="1" applyFont="1" applyFill="1" applyBorder="1" applyAlignment="1">
      <x:alignment horizontal="center" vertical="center" wrapText="1"/>
    </x:xf>
    <x:xf numFmtId="200" fontId="16" fillId="56" borderId="0" xfId="0" applyNumberFormat="1" applyFont="1" applyFill="1" applyBorder="1" applyAlignment="1">
      <x:alignment horizontal="center" vertical="center" wrapText="1"/>
    </x:xf>
    <x:xf numFmtId="200" fontId="3" fillId="56" borderId="0" xfId="0" applyNumberFormat="1" applyFont="1" applyFill="1" applyBorder="1" applyAlignment="1">
      <x:alignment horizontal="center" vertical="center" wrapText="1"/>
    </x:xf>
    <x:xf numFmtId="0" fontId="0" fillId="57" borderId="0" xfId="0" applyNumberFormat="1" applyFont="1" applyFill="1" applyBorder="1"/>
    <x:xf numFmtId="0" fontId="1" fillId="57" borderId="0" xfId="0" applyNumberFormat="1" applyFont="1" applyFill="1" applyBorder="1"/>
    <x:xf numFmtId="0" fontId="1" fillId="57" borderId="0" xfId="0" applyNumberFormat="1" applyFont="1" applyFill="1" applyBorder="1" applyAlignment="1">
      <x:alignment horizontal="center"/>
    </x:xf>
    <x:xf numFmtId="0" fontId="1" fillId="57" borderId="0" xfId="0" applyNumberFormat="1" applyFont="1" applyFill="1" applyBorder="1" applyAlignment="1">
      <x:alignment horizontal="center" vertical="center"/>
    </x:xf>
    <x:xf numFmtId="206" fontId="0" fillId="0" borderId="0" xfId="0" applyNumberFormat="1" applyFont="1" applyFill="1" applyBorder="1"/>
    <x:xf numFmtId="207" fontId="0" fillId="0" borderId="0" xfId="0" applyNumberFormat="1" applyFont="1" applyFill="1" applyBorder="1"/>
    <x:xf numFmtId="0" fontId="0" fillId="58" borderId="0" xfId="0" applyNumberFormat="1" applyFont="1" applyFill="1" applyBorder="1"/>
    <x:xf numFmtId="0" fontId="6" fillId="58" borderId="0" xfId="0" applyNumberFormat="1" applyFont="1" applyFill="1" applyBorder="1"/>
    <x:xf numFmtId="0" fontId="6" fillId="58" borderId="0" xfId="0" applyNumberFormat="1" applyFont="1" applyFill="1" applyBorder="1" applyAlignment="1">
      <x:alignment wrapText="1"/>
    </x:xf>
    <x:xf numFmtId="0" fontId="6" fillId="58" borderId="0" xfId="0" applyNumberFormat="1" applyFont="1" applyFill="1" applyBorder="1" applyAlignment="1">
      <x:alignment horizontal="center" wrapText="1"/>
    </x:xf>
    <x:xf numFmtId="0" fontId="6" fillId="58" borderId="0" xfId="0" applyNumberFormat="1" applyFont="1" applyFill="1" applyBorder="1" applyAlignment="1">
      <x:alignment horizontal="center" vertical="center" wrapText="1"/>
    </x:xf>
    <x:xf numFmtId="0" fontId="0" fillId="59" borderId="0" xfId="0" applyNumberFormat="1" applyFont="1" applyFill="1" applyBorder="1"/>
    <x:xf numFmtId="0" fontId="3" fillId="59" borderId="0" xfId="0" applyNumberFormat="1" applyFont="1" applyFill="1" applyBorder="1"/>
    <x:xf numFmtId="0" fontId="3" fillId="59" borderId="0" xfId="0" applyNumberFormat="1" applyFont="1" applyFill="1" applyBorder="1" applyAlignment="1">
      <x:alignment horizontal="center"/>
    </x:xf>
    <x:xf numFmtId="0" fontId="3" fillId="59" borderId="0" xfId="0" applyNumberFormat="1" applyFont="1" applyFill="1" applyBorder="1" applyAlignment="1">
      <x:alignment horizontal="center" vertical="center"/>
    </x:xf>
    <x:xf numFmtId="206" fontId="0" fillId="0" borderId="0" xfId="0" applyNumberFormat="1" applyFont="1" applyFill="1" applyBorder="1" applyAlignment="1">
      <x:alignment horizontal="center"/>
    </x:xf>
    <x:xf numFmtId="207" fontId="0" fillId="0" borderId="0" xfId="0" applyNumberFormat="1" applyFont="1" applyFill="1" applyBorder="1" applyAlignment="1">
      <x:alignment horizontal="center"/>
    </x:xf>
    <x:xf numFmtId="206" fontId="0" fillId="0" borderId="0" xfId="0" applyNumberFormat="1" applyFont="1" applyFill="1" applyBorder="1" applyAlignment="1">
      <x:alignment horizontal="center" vertical="center"/>
    </x:xf>
    <x:xf numFmtId="207" fontId="0" fillId="0" borderId="0" xfId="0" applyNumberFormat="1" applyFont="1" applyFill="1" applyBorder="1" applyAlignment="1">
      <x:alignment horizontal="center" vertical="center"/>
    </x:xf>
    <x:xf numFmtId="0" fontId="3" fillId="59" borderId="0" xfId="0" applyNumberFormat="1" applyFont="1" applyFill="1" applyBorder="1" applyAlignment="1">
      <x:alignment horizontal="center" vertical="center" wrapText="1"/>
    </x:xf>
    <x:xf numFmtId="200" fontId="3" fillId="59" borderId="0" xfId="0" applyNumberFormat="1" applyFont="1" applyFill="1" applyBorder="1" applyAlignment="1">
      <x:alignment horizontal="center" vertical="center"/>
    </x:xf>
    <x:xf numFmtId="204" fontId="0" fillId="0" borderId="0" xfId="0" applyNumberFormat="1" applyFont="1" applyFill="1" applyBorder="1" applyAlignment="1">
      <x:alignment horizontal="center" vertical="center"/>
    </x:xf>
    <x:xf numFmtId="0" fontId="12" fillId="59" borderId="0" xfId="0" applyNumberFormat="1" applyFont="1" applyFill="1" applyBorder="1" applyAlignment="1">
      <x:alignment horizontal="center" vertical="center" wrapText="1"/>
    </x:xf>
    <x:xf numFmtId="200" fontId="12" fillId="59" borderId="0" xfId="0" applyNumberFormat="1" applyFont="1" applyFill="1" applyBorder="1" applyAlignment="1">
      <x:alignment horizontal="center" vertical="center" wrapText="1"/>
    </x:xf>
    <x:xf numFmtId="200" fontId="3" fillId="59" borderId="0" xfId="0" applyNumberFormat="1" applyFont="1" applyFill="1" applyBorder="1" applyAlignment="1">
      <x:alignment horizontal="center" vertical="center" wrapText="1"/>
    </x:xf>
    <x:xf numFmtId="208" fontId="4" fillId="0" borderId="0" xfId="0" applyNumberFormat="1" applyFont="1" applyFill="1" applyBorder="1" applyAlignment="1">
      <x:alignment horizontal="center" vertical="center"/>
    </x:xf>
    <x:xf numFmtId="208" fontId="0" fillId="0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200" fontId="0" fillId="4" borderId="0" xfId="0" applyNumberFormat="1" applyFont="1" applyFill="1" applyBorder="1" applyAlignment="1">
      <x:alignment horizontal="center" vertical="center" wrapText="1"/>
    </x:xf>
    <x:xf numFmtId="0" fontId="0" fillId="60" borderId="0" xfId="0" applyNumberFormat="1" applyFont="1" applyFill="1" applyBorder="1" applyAlignment="1">
      <x:alignment horizontal="center" vertical="center" wrapText="1"/>
    </x:xf>
    <x:xf numFmtId="200" fontId="0" fillId="60" borderId="0" xfId="0" applyNumberFormat="1" applyFont="1" applyFill="1" applyBorder="1" applyAlignment="1">
      <x:alignment horizontal="center" vertical="center" wrapText="1"/>
    </x:xf>
    <x:xf numFmtId="0" fontId="17" fillId="60" borderId="0" xfId="0" applyNumberFormat="1" applyFont="1" applyFill="1" applyBorder="1" applyAlignment="1">
      <x:alignment horizontal="center" vertical="center" wrapText="1"/>
    </x:xf>
    <x:xf numFmtId="200" fontId="17" fillId="60" borderId="0" xfId="0" applyNumberFormat="1" applyFont="1" applyFill="1" applyBorder="1" applyAlignment="1">
      <x:alignment horizontal="center" vertical="center" wrapText="1"/>
    </x:xf>
    <x:xf numFmtId="0" fontId="0" fillId="60" borderId="0" xfId="0" applyNumberFormat="1" applyFont="1" applyFill="1" applyBorder="1" applyAlignment="1">
      <x:alignment horizontal="center" vertical="center"/>
    </x:xf>
    <x:xf numFmtId="200" fontId="0" fillId="60" borderId="0" xfId="0" applyNumberFormat="1" applyFont="1" applyFill="1" applyBorder="1" applyAlignment="1">
      <x:alignment horizontal="center" vertical="center"/>
    </x:xf>
    <x:xf numFmtId="0" fontId="17" fillId="60" borderId="0" xfId="0" applyNumberFormat="1" applyFont="1" applyFill="1" applyBorder="1" applyAlignment="1">
      <x:alignment horizontal="center" vertical="center"/>
    </x:xf>
    <x:xf numFmtId="200" fontId="17" fillId="60" borderId="0" xfId="0" applyNumberFormat="1" applyFont="1" applyFill="1" applyBorder="1" applyAlignment="1">
      <x:alignment horizontal="center" vertical="center"/>
    </x:xf>
    <x:xf numFmtId="0" fontId="6" fillId="19" borderId="0" xfId="0" applyNumberFormat="1" applyFont="1" applyFill="1" applyBorder="1" applyAlignment="1">
      <x:alignment horizontal="center" vertical="center" wrapText="1"/>
    </x:xf>
    <x:xf numFmtId="200" fontId="3" fillId="20" borderId="0" xfId="0" applyNumberFormat="1" applyFont="1" applyFill="1" applyBorder="1" applyAlignment="1">
      <x:alignment horizontal="center" vertical="center" wrapText="1"/>
    </x:xf>
    <x:xf numFmtId="206" fontId="0" fillId="61" borderId="0" xfId="0" applyNumberFormat="1" applyFont="1" applyFill="1" applyBorder="1" applyAlignment="1">
      <x:alignment horizontal="center" vertical="center"/>
    </x:xf>
    <x:xf numFmtId="204" fontId="0" fillId="61" borderId="0" xfId="0" applyNumberFormat="1" applyFont="1" applyFill="1" applyBorder="1" applyAlignment="1">
      <x:alignment horizontal="center" vertical="center"/>
    </x:xf>
    <x:xf numFmtId="209" fontId="0" fillId="0" borderId="0" xfId="0" applyNumberFormat="1" applyFont="1" applyFill="1" applyBorder="1"/>
    <x:xf numFmtId="206" fontId="0" fillId="61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horizontal="center" vertical="center" wrapText="1"/>
    </x:xf>
    <x:xf numFmtId="204" fontId="0" fillId="0" borderId="0" xfId="0" applyNumberFormat="1" applyFont="1" applyFill="1" applyBorder="1" applyAlignment="1">
      <x:alignment wrapText="1"/>
    </x:xf>
    <x:xf numFmtId="209" fontId="0" fillId="0" borderId="0" xfId="0" applyNumberFormat="1" applyFont="1" applyFill="1" applyBorder="1" applyAlignment="1">
      <x:alignment wrapText="1"/>
    </x:xf>
    <x:xf numFmtId="206" fontId="0" fillId="0" borderId="0" xfId="0" applyNumberFormat="1" applyFont="1" applyFill="1" applyBorder="1" applyAlignment="1">
      <x:alignment horizontal="center" vertical="center" wrapText="1"/>
    </x:xf>
    <x:xf numFmtId="204" fontId="0" fillId="61" borderId="0" xfId="0" applyNumberFormat="1" applyFont="1" applyFill="1" applyBorder="1" applyAlignment="1">
      <x:alignment horizontal="center" vertical="center" wrapText="1"/>
    </x:xf>
    <x:xf numFmtId="0" fontId="6" fillId="62" borderId="0" xfId="0" applyNumberFormat="1" applyFont="1" applyFill="1" applyBorder="1" applyAlignment="1">
      <x:alignment horizontal="center" vertical="center" wrapText="1"/>
    </x:xf>
    <x:xf numFmtId="0" fontId="5" fillId="6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2e0e0f17a464c" /><Relationship Type="http://schemas.openxmlformats.org/officeDocument/2006/relationships/theme" Target="/xl/theme/theme1.xml" Id="R842bd8fcc5904a55" /><Relationship Type="http://schemas.openxmlformats.org/officeDocument/2006/relationships/sharedStrings" Target="/xl/sharedStrings.xml" Id="Ra71d4bf0154b45c8" /><Relationship Type="http://schemas.openxmlformats.org/officeDocument/2006/relationships/worksheet" Target="/xl/worksheets/sheet1.xml" Id="R9dd9e1ec69944b4f" /><Relationship Type="http://schemas.openxmlformats.org/officeDocument/2006/relationships/worksheet" Target="/xl/worksheets/sheet2.xml" Id="Reb8d95479fe74336" /><Relationship Type="http://schemas.openxmlformats.org/officeDocument/2006/relationships/worksheet" Target="/xl/worksheets/sheet3.xml" Id="Re2690a3e1d5c437e" /><Relationship Type="http://schemas.openxmlformats.org/officeDocument/2006/relationships/worksheet" Target="/xl/worksheets/sheet4.xml" Id="Ra73203592b774db9" /><Relationship Type="http://schemas.openxmlformats.org/officeDocument/2006/relationships/worksheet" Target="/xl/worksheets/sheet5.xml" Id="Ra79f86c6fcec497d" /><Relationship Type="http://schemas.openxmlformats.org/officeDocument/2006/relationships/worksheet" Target="/xl/worksheets/sheet6.xml" Id="Rdfc556b23a924221" /><Relationship Type="http://schemas.openxmlformats.org/officeDocument/2006/relationships/worksheet" Target="/xl/worksheets/sheet7.xml" Id="Re90f9940a0c64cff" /><Relationship Type="http://schemas.openxmlformats.org/officeDocument/2006/relationships/worksheet" Target="/xl/worksheets/sheet8.xml" Id="R92882c3e843e48b4" /><Relationship Type="http://schemas.openxmlformats.org/officeDocument/2006/relationships/worksheet" Target="/xl/worksheets/sheet9.xml" Id="Rf4423054e02e465d" /><Relationship Type="http://schemas.openxmlformats.org/officeDocument/2006/relationships/worksheet" Target="/xl/worksheets/sheet10.xml" Id="R5b589cee9e2c4f7b" /><Relationship Type="http://schemas.openxmlformats.org/officeDocument/2006/relationships/worksheet" Target="/xl/worksheets/sheet11.xml" Id="R0dad2dd25b084623" /><Relationship Type="http://schemas.openxmlformats.org/officeDocument/2006/relationships/worksheet" Target="/xl/worksheets/sheet12.xml" Id="R3bfe9cbf15bc4dfe" /><Relationship Type="http://schemas.openxmlformats.org/officeDocument/2006/relationships/worksheet" Target="/xl/worksheets/sheet13.xml" Id="R21cebed0735641fb" /><Relationship Type="http://schemas.openxmlformats.org/officeDocument/2006/relationships/worksheet" Target="/xl/worksheets/sheet14.xml" Id="R7974850b15f64d20" /><Relationship Type="http://schemas.openxmlformats.org/officeDocument/2006/relationships/worksheet" Target="/xl/worksheets/sheet15.xml" Id="R2bdc150ccf7247a7" /><Relationship Type="http://schemas.openxmlformats.org/officeDocument/2006/relationships/worksheet" Target="/xl/worksheets/sheet16.xml" Id="R4b87b94a2bfb4af2" /><Relationship Type="http://schemas.openxmlformats.org/officeDocument/2006/relationships/worksheet" Target="/xl/worksheets/sheet17.xml" Id="Rab6d56945639453c" /><Relationship Type="http://schemas.openxmlformats.org/officeDocument/2006/relationships/worksheet" Target="/xl/worksheets/sheet18.xml" Id="Rf9df1df731e44b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8.xml.rels>&#65279;<?xml version="1.0" encoding="utf-8"?><Relationships xmlns="http://schemas.openxmlformats.org/package/2006/relationships"><Relationship Type="http://schemas.openxmlformats.org/officeDocument/2006/relationships/hyperlink" Target="../&#32842;&#22825;&#24037;&#20316;&#19982;&#21152;&#29677;&#35777;&#25454;/&#21407;&#22987;&#25130;&#22270;/2026-10-24_&#21152;&#29677;&#23457;&#25209;&#36890;&#36807;_8&#23567;&#26102;_&#21407;&#22987;&#25130;&#22270;.jpg" TargetMode="External" Id="R9d6e76deabf74b93" /><Relationship Type="http://schemas.openxmlformats.org/officeDocument/2006/relationships/hyperlink" Target="../&#32842;&#22825;&#24037;&#20316;&#19982;&#21152;&#29677;&#35777;&#25454;/&#21407;&#22987;&#25130;&#22270;/2026-10-25_&#21152;&#29677;&#23457;&#25209;&#36890;&#36807;_8&#23567;&#26102;_&#21407;&#22987;&#25130;&#22270;.jpg" TargetMode="External" Id="R9a26839e030e4815" /></Relationships>
</file>

<file path=xl/worksheets/sheet1.xml><?xml version="1.0" encoding="utf-8"?>
<ns0:worksheet xmlns:ns0="http://schemas.openxmlformats.org/spreadsheetml/2006/main">
  <ns0:sheetPr>
    <ns0:tabColor rgb="FF17365D"/>
  </ns0:sheetPr>
  <ns0:sheetViews>
    <ns0:sheetView showGridLines="0" workbookViewId="0">
      <ns0:pane ySplit="4" topLeftCell="A5" activePane="bottomLeft" state="frozen"/>
    </ns0:sheetView>
  </ns0:sheetViews>
  <ns0:sheetFormatPr defaultRowHeight="15"/>
  <ns0:cols>
    <ns0:col min="1" max="1" width="55" hidden="0" customWidth="1"/>
    <ns0:col min="2" max="2" width="19" hidden="0" customWidth="1"/>
    <ns0:col min="3" max="3" width="65" hidden="0" customWidth="1"/>
    <ns0:col min="4" max="4" width="38" hidden="0" customWidth="1"/>
  </ns0:cols>
  <ns0:sheetData>
    <ns0:row r="1" ht="38" customHeight="1">
      <ns0:c r="A1" s="161" t="str">
        <ns0:v>公司应支付及补缴款项明细</ns0:v>
      </ns0:c>
      <ns0:c r="B1" s="161" t="str"/>
      <ns0:c r="C1" s="161" t="str"/>
    </ns0:row>
    <ns0:row r="2" ht="26" customHeight="1">
      <ns0:c r="A2" s="162" t="str">
        <ns0:v>考勤记录至2026-11-03；社保2025年12月至2026年11月，公积金2026年1月至11月。</ns0:v>
      </ns0:c>
      <ns0:c r="B2" s="162" t="str"/>
      <ns0:c r="C2" s="162" t="str"/>
      <ns0:c r="D2" s="378" t="str">
        <ns0:v>此列单列，未并入B列原合计</ns0:v>
      </ns0:c>
    </ns0:row>
    <ns0:row r="3" ht="28" customHeight="1">
      <ns0:c r="A3" s="163" t="str">
        <ns0:v>工资及补缴目标测算基数</ns0:v>
      </ns0:c>
      <ns0:c r="B3" s="164" t="n">
        <ns0:f>'核算总览'!B5</ns0:f>
        <ns0:v>24359.178888888888</ns0:v>
      </ns0:c>
      <ns0:c r="C3" s="163" t="str">
        <ns0:v>1—9月税前工资均值；2026年1—10月历史已缴社保基数4,986元，2025/12及2026/11已缴为0。</ns0:v>
      </ns0:c>
      <ns0:c r="D3" s="378" t="str">
        <ns0:v>完整小时，逐日向下取整</ns0:v>
      </ns0:c>
    </ns0:row>
    <ns0:row r="4" ht="45" customHeight="1">
      <ns0:c r="A4" s="165" t="str">
        <ns0:v>款项</ns0:v>
      </ns0:c>
      <ns0:c r="B4" s="165" t="str">
        <ns0:v>金额（元）</ns0:v>
      </ns0:c>
      <ns0:c r="C4" s="165" t="str">
        <ns0:v>口径与状态</ns0:v>
      </ns0:c>
      <ns0:c r="D4" s="367" t="str">
        <ns0:v>另列：公司未支付工作日加班工资</ns0:v>
      </ns0:c>
    </ns0:row>
    <ns0:row r="5" ht="47" customHeight="1">
      <ns0:c r="A5" s="168" t="str">
        <ns0:v>工作日加班工资差额</ns0:v>
      </ns0:c>
      <ns0:c r="B5" s="262" t="n">
        <ns0:f>'工作日加班明细'!F12</ns0:f>
        <ns0:v>19075.36</ns0:v>
      </ns0:c>
      <ns0:c r="C5" s="168" t="str">
        <ns0:v>已付加班项的法定差额；另外未支付的整小时见D列及明细表</ns0:v>
      </ns0:c>
      <ns0:c r="D5" s="380" t="n">
        <ns0:f>'未付工作日加班明细'!E16</ns0:f>
        <ns0:v>2729.9</ns0:v>
      </ns0:c>
    </ns0:row>
    <ns0:row r="6" ht="47" customHeight="1">
      <ns0:c r="A6" s="168" t="str">
        <ns0:v>单双休安排下每周多出工作日加班工资</ns0:v>
      </ns0:c>
      <ns0:c r="B6" s="262" t="n">
        <ns0:f>'单双休加班明细'!D16</ns0:f>
        <ns0:v>40318.56</ns0:v>
      </ns0:c>
      <ns0:c r="C6" s="168" t="str">
        <ns0:v>自2025年12月19日逐周核对至2026年10月；按国家放假调班、年假调整应出勤日；多出工作日按8小时/天折算，审批加班单列。</ns0:v>
      </ns0:c>
      <ns0:c r="D6" s="378"/>
    </ns0:row>
    <ns0:row r="7" ht="47" customHeight="1">
      <ns0:c r="A7" s="168" t="str">
        <ns0:v>2026年10月24、25日未补休12小时</ns0:v>
      </ns0:c>
      <ns0:c r="B7" s="262" t="n">
        <ns0:f>'十月未补休明细'!B12</ns0:f>
        <ns0:v>3359.89</ns0:v>
      </ns0:c>
      <ns0:c r="C7" s="168" t="str">
        <ns0:v>审批16小时减10/27、10/30各调休2小时；余额12小时，详见十月未补休明细。</ns0:v>
      </ns0:c>
      <ns0:c r="D7" s="378"/>
    </ns0:row>
    <ns0:row r="8" ht="31" customHeight="1">
      <ns0:c r="A8" s="168" t="str">
        <ns0:v>未发工资（十月＋十一月）</ns0:v>
      </ns0:c>
      <ns0:c r="B8" s="262" t="n">
        <ns0:f>'未发工资明细'!B6</ns0:f>
        <ns0:v>28413.79</ns0:v>
      </ns0:c>
      <ns0:c r="C8" s="168" t="str">
        <ns0:f>"截至"&amp;TEXT('未发工资明细'!B9,"yyyy-mm-dd")&amp;"；十一月计薪"&amp;'未发工资明细'!B12&amp;"天，含预计，详见未发工资明细"</ns0:f>
        <ns0:v>截至2026-11-04；十一月计薪4天，含预计，详见未发工资明细</ns0:v>
      </ns0:c>
      <ns0:c r="D8" s="378"/>
    </ns0:row>
    <ns0:row r="9" ht="31" customHeight="1">
      <ns0:c r="A9" s="168" t="str">
        <ns0:v>N经济补偿</ns0:v>
      </ns0:c>
      <ns0:c r="B9" s="262" t="n">
        <ns0:f>'N经济补偿明细'!B20</ns0:f>
        <ns0:v>24359.18</ns0:v>
      </ns0:c>
      <ns0:c r="C9" s="168" t="str">
        <ns0:v>解除日期口径2026年11月，N=1；详见N经济补偿明细。</ns0:v>
      </ns0:c>
      <ns0:c r="D9" s="378"/>
    </ns0:row>
    <ns0:row r="10" ht="31" customHeight="1">
      <ns0:c r="A10" s="168" t="str">
        <ns0:v>+1代通知金</ns0:v>
      </ns0:c>
      <ns0:c r="B10" s="262" t="n">
        <ns0:f>'代通知金明细'!B6</ns0:f>
        <ns0:v>24359.18</ns0:v>
      </ns0:c>
      <ns0:c r="C10" s="168" t="str">
        <ns0:v>沿原1—9月均值口径；10月实际工资单未取得，详见代通知金明细。</ns0:v>
      </ns0:c>
      <ns0:c r="D10" s="378"/>
    </ns0:row>
    <ns0:row r="11" ht="36" customHeight="1">
      <ns0:c r="A11" s="318" t="str">
        <ns0:v>应付本人现金项税前小计</ns0:v>
      </ns0:c>
      <ns0:c r="B11" s="324" t="n">
        <ns0:f>SUM(B5:B10)</ns0:f>
        <ns0:v>139885.96</ns0:v>
      </ns0:c>
      <ns0:c r="C11" s="318" t="str">
        <ns0:v>工资、加班费及N/+1合计；N/+1以相应适用条件成立为前提。</ns0:v>
      </ns0:c>
      <ns0:c r="D11" s="382" t="n">
        <ns0:f>SUM(D5:D10)</ns0:f>
        <ns0:v>2729.9</ns0:v>
      </ns0:c>
    </ns0:row>
    <ns0:row r="12" ht="16" customHeight="1">
      <ns0:c r="A12" s="319"/>
      <ns0:c r="B12" s="320"/>
      <ns0:c r="C12" s="319"/>
      <ns0:c r="D12" s="378"/>
    </ns0:row>
    <ns0:row r="13" ht="31" customHeight="1">
      <ns0:c r="A13" s="280" t="str">
        <ns0:v>社保单位补缴（不含工伤）</ns0:v>
      </ns0:c>
      <ns0:c r="B13" s="281" t="n">
        <ns0:f>'社保单位补缴明细'!G17</ns0:f>
        <ns0:v>63037.079999999994</ns0:v>
      </ns0:c>
      <ns0:c r="C13" s="280" t="str">
        <ns0:v>2025/12—2026/11；2025年12月及2026年11月单位尚未缴纳，已缴金额为0元；工伤未计。</ns0:v>
      </ns0:c>
      <ns0:c r="D13" s="378"/>
    </ns0:row>
    <ns0:row r="14" ht="31" customHeight="1">
      <ns0:c r="A14" s="168" t="str">
        <ns0:v>公积金单位部分补缴</ns0:v>
      </ns0:c>
      <ns0:c r="B14" s="262" t="n">
        <ns0:f>'公积金单位补缴明细'!E16</ns0:f>
        <ns0:v>12116</ns0:v>
      </ns0:c>
      <ns0:c r="C14" s="168" t="str">
        <ns0:v>2026/1—11；11月单位尚未缴纳，已缴金额为0元。</ns0:v>
      </ns0:c>
      <ns0:c r="D14" s="378"/>
    </ns0:row>
    <ns0:row r="15" ht="36" customHeight="1">
      <ns0:c r="A15" s="318" t="str">
        <ns0:v>单位补缴小计</ns0:v>
      </ns0:c>
      <ns0:c r="B15" s="324" t="n">
        <ns0:f>SUM(B13:B14)</ns0:f>
        <ns0:v>75153.07999999999</ns0:v>
      </ns0:c>
      <ns0:c r="C15" s="318" t="str">
        <ns0:v>社保与公积金单位补缴合计，缴入相应账户。</ns0:v>
      </ns0:c>
      <ns0:c r="D15" s="378"/>
    </ns0:row>
    <ns0:row r="16" ht="41" customHeight="1">
      <ns0:c r="A16" s="402" t="str">
        <ns0:v>社保补缴滞纳金</ns0:v>
      </ns0:c>
      <ns0:c r="B16" s="407" t="n">
        <ns0:f>'社保滞纳金明细'!F15</ns0:f>
        <ns0:v>4143.98</ns0:v>
      </ns0:c>
      <ns0:c r="C16" s="402" t="str">
        <ns0:f>"截至"&amp;TEXT('社保滞纳金明细'!B2,"yyyy-mm-dd")&amp;"；按所属月次月15日计算，实际缴费期限及起算日以核定为准。"</ns0:f>
        <ns0:v>截至2026-11-04；按所属月次月15日计算，实际缴费期限及起算日以核定为准。</ns0:v>
      </ns0:c>
      <ns0:c r="D16" s="378"/>
    </ns0:row>
    <ns0:row r="17" ht="40" customHeight="1">
      <ns0:c r="A17" s="327" t="str">
        <ns0:v>公司承担合计</ns0:v>
      </ns0:c>
      <ns0:c r="B17" s="328" t="n">
        <ns0:f>B11+B15+B16</ns0:f>
        <ns0:v>219183.02</ns0:v>
      </ns0:c>
      <ns0:c r="C17" s="327" t="str">
        <ns0:v>现金项＋单位补缴＋滞纳金；不含另列加班及工伤。</ns0:v>
      </ns0:c>
      <ns0:c r="D17" s="382" t="n">
        <ns0:f>D11</ns0:f>
        <ns0:v>2729.9</ns0:v>
      </ns0:c>
    </ns0:row>
    <ns0:row r="18" ht="16" customHeight="1">
      <ns0:c r="A18" s="319"/>
      <ns0:c r="B18" s="320"/>
      <ns0:c r="C18" s="319"/>
      <ns0:c r="D18" s="378"/>
    </ns0:row>
    <ns0:row r="19" ht="64" customHeight="1">
      <ns0:c r="A19" s="330" t="str">
        <ns0:v>说明</ns0:v>
      </ns0:c>
      <ns0:c r="B19" s="330" t="str"/>
      <ns0:c r="C19" s="330" t="str">
        <ns0:v>请公司逐项核对并支付应付工资、加班费及适用的解除补偿，办理社保和公积金单位差额补缴；如对金额有异议，请提供排班、补休、工资及缴费明细。</ns0:v>
      </ns0:c>
      <ns0:c r="D19" s="378" t="str">
        <ns0:v>D列为另列的工作日整小时加班款；公司总承担额如将其计入，应在B17基础上加D17。</ns0:v>
      </ns0:c>
    </ns0:row>
    <ns0:row r="20" ht="16" customHeight="1">
      <ns0:c r="A20" s="321"/>
      <ns0:c r="B20" s="321"/>
      <ns0:c r="C20" s="321"/>
    </ns0:row>
  </ns0:sheetData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Pr>
    <ns0:tabColor rgb="FF17365D"/>
  </ns0:sheetPr>
  <ns0:sheetViews>
    <ns0:sheetView showGridLines="0" workbookViewId="0"/>
  </ns0:sheetViews>
  <ns0:sheetFormatPr defaultRowHeight="15"/>
  <ns0:cols>
    <ns0:col min="1" max="1" width="30" hidden="0" customWidth="1"/>
    <ns0:col min="2" max="2" width="23" hidden="0" customWidth="1"/>
    <ns0:col min="3" max="3" width="35" hidden="0" customWidth="1"/>
    <ns0:col min="4" max="4" width="76" hidden="0" customWidth="1"/>
  </ns0:cols>
  <ns0:sheetData>
    <ns0:row r="1" ht="40" customHeight="1">
      <ns0:c r="A1" s="354" t="str">
        <ns0:v>N经济补偿计算明细</ns0:v>
      </ns0:c>
      <ns0:c r="B1" s="354"/>
      <ns0:c r="C1" s="354"/>
      <ns0:c r="D1" s="354"/>
    </ns0:row>
    <ns0:row r="3" ht="34" customHeight="1">
      <ns0:c r="A3" s="331" t="str">
        <ns0:v>工资月份／计算项</ns0:v>
      </ns0:c>
      <ns0:c r="B3" s="331" t="str">
        <ns0:v>税前工资／系数</ns0:v>
      </ns0:c>
      <ns0:c r="C3" s="331" t="str">
        <ns0:v>计算关系</ns0:v>
      </ns0:c>
      <ns0:c r="D3" s="331" t="str">
        <ns0:v>原始来源</ns0:v>
      </ns0:c>
    </ns0:row>
    <ns0:row r="4" ht="48" customHeight="1">
      <ns0:c r="A4" s="205" t="str">
        <ns0:f>'工资单转录'!A4</ns0:f>
        <ns0:v>2026-01</ns0:v>
      </ns0:c>
      <ns0:c r="B4" s="225" t="n">
        <ns0:f>'工资单转录'!B4</ns0:f>
        <ns0:v>24184.78</ns0:v>
      </ns0:c>
      <ns0:c r="C4" s="205" t="str">
        <ns0:v>完整工资月税前应发</ns0:v>
      </ns0:c>
      <ns0:c r="D4" s="309" t="str">
        <ns0:f>'工资单转录'!G4</ns0:f>
        <ns0:v>聊天工资单放大原图/2026-01_聊天工资单放大.png</ns0:v>
      </ns0:c>
    </ns0:row>
    <ns0:row r="5" ht="48" customHeight="1">
      <ns0:c r="A5" s="205" t="str">
        <ns0:f>'工资单转录'!A5</ns0:f>
        <ns0:v>2026-02</ns0:v>
      </ns0:c>
      <ns0:c r="B5" s="225" t="n">
        <ns0:f>'工资单转录'!B5</ns0:f>
        <ns0:v>24632.35</ns0:v>
      </ns0:c>
      <ns0:c r="C5" s="205" t="str">
        <ns0:v>完整工资月税前应发</ns0:v>
      </ns0:c>
      <ns0:c r="D5" s="309" t="str">
        <ns0:f>'工资单转录'!G5</ns0:f>
        <ns0:v>聊天工资单放大原图/2026-02_聊天工资单放大.png</ns0:v>
      </ns0:c>
    </ns0:row>
    <ns0:row r="6" ht="48" customHeight="1">
      <ns0:c r="A6" s="205" t="str">
        <ns0:f>'工资单转录'!A6</ns0:f>
        <ns0:v>2026-03</ns0:v>
      </ns0:c>
      <ns0:c r="B6" s="225" t="n">
        <ns0:f>'工资单转录'!B6</ns0:f>
        <ns0:v>23500</ns0:v>
      </ns0:c>
      <ns0:c r="C6" s="205" t="str">
        <ns0:v>完整工资月税前应发</ns0:v>
      </ns0:c>
      <ns0:c r="D6" s="309" t="str">
        <ns0:f>'工资单转录'!G6</ns0:f>
        <ns0:v>工资单及聊天原图/2026-03_工资单_下部.jpg</ns0:v>
      </ns0:c>
    </ns0:row>
    <ns0:row r="7" ht="48" customHeight="1">
      <ns0:c r="A7" s="205" t="str">
        <ns0:f>'工资单转录'!A7</ns0:f>
        <ns0:v>2026-04</ns0:v>
      </ns0:c>
      <ns0:c r="B7" s="225" t="n">
        <ns0:f>'工资单转录'!B7</ns0:f>
        <ns0:v>24791.7</ns0:v>
      </ns0:c>
      <ns0:c r="C7" s="205" t="str">
        <ns0:v>完整工资月税前应发</ns0:v>
      </ns0:c>
      <ns0:c r="D7" s="309" t="str">
        <ns0:f>'工资单转录'!G7</ns0:f>
        <ns0:v>工资单及聊天原图/2026-04_工资单_完整.jpg</ns0:v>
      </ns0:c>
    </ns0:row>
    <ns0:row r="8" ht="48" customHeight="1">
      <ns0:c r="A8" s="205" t="str">
        <ns0:f>'工资单转录'!A8</ns0:f>
        <ns0:v>2026-05</ns0:v>
      </ns0:c>
      <ns0:c r="B8" s="225" t="n">
        <ns0:f>'工资单转录'!B8</ns0:f>
        <ns0:v>25095.26</ns0:v>
      </ns0:c>
      <ns0:c r="C8" s="205" t="str">
        <ns0:v>完整工资月税前应发</ns0:v>
      </ns0:c>
      <ns0:c r="D8" s="309" t="str">
        <ns0:f>'工资单转录'!G8</ns0:f>
        <ns0:v>工资单及聊天原图/2026-05_工资单_完整.jpg</ns0:v>
      </ns0:c>
    </ns0:row>
    <ns0:row r="9" ht="48" customHeight="1">
      <ns0:c r="A9" s="205" t="str">
        <ns0:f>'工资单转录'!A9</ns0:f>
        <ns0:v>2026-06</ns0:v>
      </ns0:c>
      <ns0:c r="B9" s="225" t="n">
        <ns0:f>'工资单转录'!B9</ns0:f>
        <ns0:v>24782.63</ns0:v>
      </ns0:c>
      <ns0:c r="C9" s="205" t="str">
        <ns0:v>完整工资月税前应发</ns0:v>
      </ns0:c>
      <ns0:c r="D9" s="309" t="str">
        <ns0:f>'工资单转录'!G9</ns0:f>
        <ns0:v>工资单及聊天原图/2026-06_工资单_局部.jpg</ns0:v>
      </ns0:c>
    </ns0:row>
    <ns0:row r="10" ht="48" customHeight="1">
      <ns0:c r="A10" s="205" t="str">
        <ns0:f>'工资单转录'!A10</ns0:f>
        <ns0:v>2026-07</ns0:v>
      </ns0:c>
      <ns0:c r="B10" s="225" t="n">
        <ns0:f>'工资单转录'!B10</ns0:f>
        <ns0:v>24502.4</ns0:v>
      </ns0:c>
      <ns0:c r="C10" s="205" t="str">
        <ns0:v>完整工资月税前应发</ns0:v>
      </ns0:c>
      <ns0:c r="D10" s="309" t="str">
        <ns0:f>'工资单转录'!G10</ns0:f>
        <ns0:v>工资单及聊天原图/2026-07_工资单_完整.jpg</ns0:v>
      </ns0:c>
    </ns0:row>
    <ns0:row r="11" ht="48" customHeight="1">
      <ns0:c r="A11" s="205" t="str">
        <ns0:f>'工资单转录'!A11</ns0:f>
        <ns0:v>2026-08</ns0:v>
      </ns0:c>
      <ns0:c r="B11" s="225" t="n">
        <ns0:f>'工资单转录'!B11</ns0:f>
        <ns0:v>24004.36</ns0:v>
      </ns0:c>
      <ns0:c r="C11" s="205" t="str">
        <ns0:v>完整工资月税前应发</ns0:v>
      </ns0:c>
      <ns0:c r="D11" s="309" t="str">
        <ns0:f>'工资单转录'!G11</ns0:f>
        <ns0:v>工资单及聊天原图/2026-08_工资单_完整.jpg</ns0:v>
      </ns0:c>
    </ns0:row>
    <ns0:row r="12" ht="48" customHeight="1">
      <ns0:c r="A12" s="205" t="str">
        <ns0:f>'工资单转录'!A12</ns0:f>
        <ns0:v>2026-09</ns0:v>
      </ns0:c>
      <ns0:c r="B12" s="225" t="n">
        <ns0:f>'工资单转录'!B12</ns0:f>
        <ns0:v>23739.13</ns0:v>
      </ns0:c>
      <ns0:c r="C12" s="205" t="str">
        <ns0:v>完整工资月税前应发</ns0:v>
      </ns0:c>
      <ns0:c r="D12" s="309" t="str">
        <ns0:f>'工资单转录'!G12</ns0:f>
        <ns0:v>工资单及聊天原图/2026-09_工资单_完整.jpg</ns0:v>
      </ns0:c>
    </ns0:row>
    <ns0:row r="13">
      <ns0:c r="A13" s="205"/>
      <ns0:c r="B13" s="225"/>
      <ns0:c r="C13" s="205"/>
      <ns0:c r="D13" s="309"/>
    </ns0:row>
    <ns0:row r="14">
      <ns0:c r="A14" s="205" t="str">
        <ns0:v>九个月税前工资合计</ns0:v>
      </ns0:c>
      <ns0:c r="B14" s="225" t="n">
        <ns0:f>SUM(B4:B12)</ns0:f>
        <ns0:v>219232.61</ns0:v>
      </ns0:c>
      <ns0:c r="C14" s="205"/>
      <ns0:c r="D14" s="309"/>
    </ns0:row>
    <ns0:row r="15">
      <ns0:c r="A15" s="205" t="str">
        <ns0:v>纳入平均的月数</ns0:v>
      </ns0:c>
      <ns0:c r="B15" s="225" t="n">
        <ns0:f>COUNT(B4:B12)</ns0:f>
        <ns0:v>9</ns0:v>
      </ns0:c>
      <ns0:c r="C15" s="205"/>
      <ns0:c r="D15" s="309"/>
    </ns0:row>
    <ns0:row r="16">
      <ns0:c r="A16" s="205" t="str">
        <ns0:v>月平均税前工资</ns0:v>
      </ns0:c>
      <ns0:c r="B16" s="225" t="n">
        <ns0:f>B14/B15</ns0:f>
        <ns0:v>24359.178888888888</ns0:v>
      </ns0:c>
      <ns0:c r="C16" s="205" t="str">
        <ns0:v>合计÷9</ns0:v>
      </ns0:c>
      <ns0:c r="D16" s="309"/>
    </ns0:row>
    <ns0:row r="17">
      <ns0:c r="A17" s="205" t="str">
        <ns0:v>入职日期</ns0:v>
      </ns0:c>
      <ns0:c r="B17" s="225" t="str">
        <ns0:f>'核算总览'!B38</ns0:f>
        <ns0:v>2025-12-19</ns0:v>
      </ns0:c>
      <ns0:c r="C17" s="205"/>
      <ns0:c r="D17" s="309"/>
    </ns0:row>
    <ns0:row r="18">
      <ns0:c r="A18" s="205" t="str">
        <ns0:v>解除日期口径</ns0:v>
      </ns0:c>
      <ns0:c r="B18" s="409" t="str">
        <ns0:f>'核算总览'!B39</ns0:f>
        <ns0:v>2026年11月</ns0:v>
      </ns0:c>
      <ns0:c r="C18" s="205"/>
      <ns0:c r="D18" s="309"/>
    </ns0:row>
    <ns0:row r="19">
      <ns0:c r="A19" s="205" t="str">
        <ns0:v>经济补偿月数N</ns0:v>
      </ns0:c>
      <ns0:c r="B19" s="225" t="n">
        <ns0:f>'核算总览'!B40</ns0:f>
        <ns0:v>1</ns0:v>
      </ns0:c>
      <ns0:c r="C19" s="205" t="str">
        <ns0:v>2025-12-19至2026年11月，满6个月未满1年，N=1</ns0:v>
      </ns0:c>
      <ns0:c r="D19" s="309"/>
    </ns0:row>
    <ns0:row r="20" ht="36" customHeight="1">
      <ns0:c r="A20" s="350" t="str">
        <ns0:v>N经济补偿</ns0:v>
      </ns0:c>
      <ns0:c r="B20" s="351" t="n">
        <ns0:f>ROUND(B16*B19,2)</ns0:f>
        <ns0:v>24359.18</ns0:v>
      </ns0:c>
      <ns0:c r="C20" s="350" t="str">
        <ns0:v>月平均税前工资×N；相应解除条件成立时适用</ns0:v>
      </ns0:c>
      <ns0:c r="D20" s="350" t="str">
        <ns0:v>《劳动合同法》第47条；工资单转录B4:B12</ns0:v>
      </ns0:c>
    </ns0:row>
  </ns0:sheetData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Pr>
    <ns0:tabColor rgb="FF17365D"/>
  </ns0:sheetPr>
  <ns0:sheetViews>
    <ns0:sheetView showGridLines="0" workbookViewId="0"/>
  </ns0:sheetViews>
  <ns0:sheetFormatPr defaultRowHeight="15"/>
  <ns0:cols>
    <ns0:col min="1" max="1" width="34" hidden="0" customWidth="1"/>
    <ns0:col min="2" max="2" width="23" hidden="0" customWidth="1"/>
    <ns0:col min="3" max="3" width="62" hidden="0" customWidth="1"/>
    <ns0:col min="4" max="4" width="88" hidden="0" customWidth="1"/>
  </ns0:cols>
  <ns0:sheetData>
    <ns0:row r="1" ht="40" customHeight="1">
      <ns0:c r="A1" s="354" t="str">
        <ns0:v>+1代通知金计算明细</ns0:v>
      </ns0:c>
      <ns0:c r="B1" s="354"/>
      <ns0:c r="C1" s="354"/>
      <ns0:c r="D1" s="354"/>
    </ns0:row>
    <ns0:row r="3" ht="34" customHeight="1">
      <ns0:c r="A3" s="331" t="str">
        <ns0:v>计算项目</ns0:v>
      </ns0:c>
      <ns0:c r="B3" s="331" t="str">
        <ns0:v>金额／系数</ns0:v>
      </ns0:c>
      <ns0:c r="C3" s="331" t="str">
        <ns0:v>公式／条件</ns0:v>
      </ns0:c>
      <ns0:c r="D3" s="331" t="str">
        <ns0:v>数据来源</ns0:v>
      </ns0:c>
    </ns0:row>
    <ns0:row r="4" ht="44" customHeight="1">
      <ns0:c r="A4" s="205" t="str">
        <ns0:v>本表当前月平均工资口径</ns0:v>
      </ns0:c>
      <ns0:c r="B4" s="225" t="n">
        <ns0:f>'N经济补偿明细'!B16</ns0:f>
        <ns0:v>24359.178888888888</ns0:v>
      </ns0:c>
      <ns0:c r="C4" s="309" t="str">
        <ns0:v>2026年1—9月税前工资合计÷9</ns0:v>
      </ns0:c>
      <ns0:c r="D4" s="309" t="str">
        <ns0:v>N经济补偿明细!B4:B16</ns0:v>
      </ns0:c>
    </ns0:row>
    <ns0:row r="5" ht="44" customHeight="1">
      <ns0:c r="A5" s="205" t="str">
        <ns0:v>代通知金月数</ns0:v>
      </ns0:c>
      <ns0:c r="B5" s="225" t="n">
        <ns0:v>1</ns0:v>
      </ns0:c>
      <ns0:c r="C5" s="309" t="str">
        <ns0:v>1个月</ns0:v>
      </ns0:c>
      <ns0:c r="D5" s="309"/>
    </ns0:row>
    <ns0:row r="6" ht="44" customHeight="1">
      <ns0:c r="A6" s="350" t="str">
        <ns0:v>当前首页列示金额</ns0:v>
      </ns0:c>
      <ns0:c r="B6" s="351" t="n">
        <ns0:f>ROUND(B4*B5,2)</ns0:f>
        <ns0:v>24359.18</ns0:v>
      </ns0:c>
      <ns0:c r="C6" s="350" t="str">
        <ns0:v>月平均工资×1个月；沿既有1—9月均值，不将9月历史工资作为当前上月工资。</ns0:v>
      </ns0:c>
      <ns0:c r="D6" s="350"/>
    </ns0:row>
    <ns0:row r="7" ht="44" customHeight="1">
      <ns0:c r="A7" s="205"/>
      <ns0:c r="B7" s="225"/>
      <ns0:c r="C7" s="309"/>
      <ns0:c r="D7" s="309"/>
    </ns0:row>
    <ns0:row r="8" ht="44" customHeight="1">
      <ns0:c r="A8" s="205" t="str">
        <ns0:v>2026年9月历史工资参考</ns0:v>
      </ns0:c>
      <ns0:c r="B8" s="225" t="n">
        <ns0:f>'工资单转录'!B12</ns0:f>
        <ns0:v>23739.13</ns0:v>
      </ns0:c>
      <ns0:c r="C8" s="309" t="str">
        <ns0:v>23739.13为9月历史工资，不是11月测算的上月实际工资；10月工资单未取得。</ns0:v>
      </ns0:c>
      <ns0:c r="D8" s="309" t="str">
        <ns0:f>'工资单转录'!G12</ns0:f>
        <ns0:v>工资单及聊天原图/2026-09_工资单_完整.jpg</ns0:v>
      </ns0:c>
    </ns0:row>
    <ns0:row r="9" ht="44" customHeight="1">
      <ns0:c r="A9" s="205" t="str">
        <ns0:v>按9月历史工资的对照金额</ns0:v>
      </ns0:c>
      <ns0:c r="B9" s="225" t="n">
        <ns0:f>ROUND(B8*B5,2)</ns0:f>
        <ns0:v>23739.13</ns0:v>
      </ns0:c>
      <ns0:c r="C9" s="309" t="str">
        <ns0:v>历史参考×1个月；不作为当前上月工资测算结果</ns0:v>
      </ns0:c>
      <ns0:c r="D9" s="309"/>
    </ns0:row>
    <ns0:row r="10" ht="44" customHeight="1">
      <ns0:c r="A10" s="205"/>
      <ns0:c r="B10" s="205"/>
      <ns0:c r="C10" s="309"/>
      <ns0:c r="D10" s="309"/>
    </ns0:row>
    <ns0:row r="11" ht="44" customHeight="1">
      <ns0:c r="A11" s="205" t="str">
        <ns0:v>适用前提</ns0:v>
      </ns0:c>
      <ns0:c r="B11" s="205"/>
      <ns0:c r="C11" s="309" t="str">
        <ns0:v>《劳动合同法》第40条所列解除情形，且未提前30日书面通知；10月实际工资待工资单核实。</ns0:v>
      </ns0:c>
      <ns0:c r="D11" s="309" t="str">
        <ns0:v>https://www.mohrss.gov.cn/xxgk2020/fdzdgknr/zcfg/fg/202011/t20201103_394939_wap.html</ns0:v>
      </ns0:c>
    </ns0:row>
  </ns0:sheetData>
  <ns0:pageMargins left="0.7" right="0.7" top="0.75" bottom="0.75" header="0.3" footer="0.3"/>
</ns0:worksheet>
</file>

<file path=xl/worksheets/sheet4.xml><?xml version="1.0" encoding="utf-8"?>
<ns0:worksheet xmlns:ns0="http://schemas.openxmlformats.org/spreadsheetml/2006/main">
  <ns0:sheetPr>
    <ns0:tabColor rgb="FF17365D"/>
  </ns0:sheetPr>
  <ns0:sheetViews>
    <ns0:sheetView showGridLines="0" workbookViewId="0"/>
  </ns0:sheetViews>
  <ns0:sheetFormatPr defaultRowHeight="15"/>
  <ns0:cols>
    <ns0:col min="1" max="1" width="30" hidden="0" customWidth="1"/>
    <ns0:col min="2" max="2" width="20" hidden="0" customWidth="1"/>
    <ns0:col min="3" max="3" width="30" hidden="0" customWidth="1"/>
    <ns0:col min="4" max="4" width="85" hidden="0" customWidth="1"/>
  </ns0:cols>
  <ns0:sheetData>
    <ns0:row r="1" ht="40" customHeight="1">
      <ns0:c r="A1" s="354" t="str">
        <ns0:v>未发工资明细｜十月与十一月分列</ns0:v>
      </ns0:c>
      <ns0:c r="B1" s="354"/>
      <ns0:c r="C1" s="354"/>
      <ns0:c r="D1" s="354"/>
    </ns0:row>
    <ns0:row r="3" ht="34" customHeight="1">
      <ns0:c r="A3" s="331" t="str">
        <ns0:v>项目</ns0:v>
      </ns0:c>
      <ns0:c r="B3" s="331" t="str">
        <ns0:v>金额</ns0:v>
      </ns0:c>
      <ns0:c r="C3" s="331" t="str">
        <ns0:v>公式／口径</ns0:v>
      </ns0:c>
      <ns0:c r="D3" s="331" t="str">
        <ns0:v>数据来源</ns0:v>
      </ns0:c>
    </ns0:row>
    <ns0:row r="4" ht="60" customHeight="1">
      <ns0:c r="A4" s="309" t="str">
        <ns0:v>2026年10月未发工资</ns0:v>
      </ns0:c>
      <ns0:c r="B4" s="426" t="n">
        <ns0:f>'工资单转录'!B13</ns0:f>
        <ns0:v>24000</ns0:v>
      </ns0:c>
      <ns0:c r="C4" s="309" t="str">
        <ns0:v>按既有月薪24,000元列入</ns0:v>
      </ns0:c>
      <ns0:c r="D4" s="309" t="str">
        <ns0:v>工资单转录!B13；2026年10月工资单尚未取得，已发金额另以公司工资单核对。</ns0:v>
      </ns0:c>
    </ns0:row>
    <ns0:row r="5" ht="60" customHeight="1">
      <ns0:c r="A5" s="309" t="str">
        <ns0:v>2026年11月未发工资（含预计）</ns0:v>
      </ns0:c>
      <ns0:c r="B5" s="426" t="n">
        <ns0:f>IF(AND(B9&gt;=DATE(2026,11,1),B9&lt;=DATE(2026,11,30)),ROUND(B13*B12,2),NA())</ns0:f>
        <ns0:v>4413.79</ns0:v>
      </ns0:c>
      <ns0:c r="C5" s="309" t="str">
        <ns0:v>月薪÷21.75×计薪天数，金额最后取分</ns0:v>
      </ns0:c>
      <ns0:c r="D5" s="309" t="str">
        <ns0:f>"计薪暂计至"&amp;TEXT(B9,"yyyy-mm-dd")&amp;"，共"&amp;B12&amp;"天；最终按实际出勤结算。"</ns0:f>
        <ns0:v>计薪暂计至2026-11-04，共4天；最终按实际出勤结算。</ns0:v>
      </ns0:c>
    </ns0:row>
    <ns0:row r="6" ht="36" customHeight="1">
      <ns0:c r="A6" s="350" t="str">
        <ns0:v>未发工资合计</ns0:v>
      </ns0:c>
      <ns0:c r="B6" s="421" t="n">
        <ns0:f>SUM(B4:B5)</ns0:f>
        <ns0:v>28413.79</ns0:v>
      </ns0:c>
      <ns0:c r="C6" s="350"/>
      <ns0:c r="D6" s="350"/>
    </ns0:row>
    <ns0:row r="8" ht="44" customHeight="1">
      <ns0:c r="A8" s="432" t="str">
        <ns0:v>可调整参数</ns0:v>
      </ns0:c>
      <ns0:c r="B8" s="432" t="str">
        <ns0:v>当前值</ns0:v>
      </ns0:c>
      <ns0:c r="C8" s="432" t="str">
        <ns0:v>修改规则</ns0:v>
      </ns0:c>
      <ns0:c r="D8" s="432" t="str">
        <ns0:v>来源/状态</ns0:v>
      </ns0:c>
    </ns0:row>
    <ns0:row r="9" ht="44" customHeight="1">
      <ns0:c r="A9" s="309" t="str">
        <ns0:v>计薪截止日期</ns0:v>
      </ns0:c>
      <ns0:c r="B9" s="425" t="n">
        <ns0:f>'核算总览'!B2</ns0:f>
        <ns0:v>46330</ns0:v>
      </ns0:c>
      <ns0:c r="C9" s="309" t="str">
        <ns0:v>按核算截止日期及实际出勤核对</ns0:v>
      </ns0:c>
      <ns0:c r="D9" s="309" t="str">
        <ns0:f>"暂计至"&amp;TEXT(B9,"yyyy-mm-dd")&amp;"，最终按实际出勤结算"</ns0:f>
        <ns0:v>暂计至2026-11-04，最终按实际出勤结算</ns0:v>
      </ns0:c>
    </ns0:row>
    <ns0:row r="10" ht="44" customHeight="1">
      <ns0:c r="A10" s="309" t="str">
        <ns0:v>十一月月薪基数</ns0:v>
      </ns0:c>
      <ns0:c r="B10" s="426" t="n">
        <ns0:f>'工资单转录'!B13</ns0:f>
        <ns0:v>24000</ns0:v>
      </ns0:c>
      <ns0:c r="C10" s="309" t="str">
        <ns0:v>月薪24,000元，待工资单核对</ns0:v>
      </ns0:c>
      <ns0:c r="D10" s="309"/>
    </ns0:row>
    <ns0:row r="11" ht="44" customHeight="1">
      <ns0:c r="A11" s="174" t="str">
        <ns0:v>月计薪天数除数</ns0:v>
      </ns0:c>
      <ns0:c r="B11" s="421" t="n">
        <ns0:v>21.75</ns0:v>
      </ns0:c>
      <ns0:c r="C11" s="174" t="str">
        <ns0:v>按每月21.75个计薪日折算</ns0:v>
      </ns0:c>
      <ns0:c r="D11" s="174"/>
    </ns0:row>
    <ns0:row r="12" ht="44" customHeight="1">
      <ns0:c r="A12" s="410" t="str">
        <ns0:v>截至日计薪天数（自动汇总）</ns0:v>
      </ns0:c>
      <ns0:c r="B12" s="427" t="n">
        <ns0:f>SUMIF(A18:A47,"&lt;="&amp;B9,B18:B47)</ns0:f>
        <ns0:v>4</ns0:v>
      </ns0:c>
      <ns0:c r="C12" s="410" t="str">
        <ns0:v>汇总截止日期以内的计薪标记；1计薪，0或空白不计</ns0:v>
      </ns0:c>
      <ns0:c r="D12" s="410"/>
    </ns0:row>
    <ns0:row r="13" ht="44" customHeight="1">
      <ns0:c r="A13" s="410" t="str">
        <ns0:v>日薪（不提前舍入）</ns0:v>
      </ns0:c>
      <ns0:c r="B13" s="428" t="n">
        <ns0:f>B10/B11</ns0:f>
        <ns0:v>1103.448275862069</ns0:v>
      </ns0:c>
      <ns0:c r="C13" s="410" t="str">
        <ns0:v>月薪÷21.75，十一月金额最后统一取分</ns0:v>
      </ns0:c>
      <ns0:c r="D13" s="410"/>
    </ns0:row>
    <ns0:row r="14" ht="64" customHeight="1">
      <ns0:c r="A14" s="410" t="str">
        <ns0:v>日期范围检查</ns0:v>
      </ns0:c>
      <ns0:c r="B14" s="410" t="str">
        <ns0:f>IF(AND(B9&gt;=DATE(2026,11,1),B9&lt;=DATE(2026,11,30)),"范围有效","超出十一月：先扩展逐日表及公式，不自动计薪")</ns0:f>
        <ns0:v>范围有效</ns0:v>
      </ns0:c>
      <ns0:c r="C14" s="410" t="str">
        <ns0:v>仅适用十一月；延长截止日期后须逐日核对计薪标记</ns0:v>
      </ns0:c>
      <ns0:c r="D14" s="410"/>
    </ns0:row>
    <ns0:row r="15" ht="64" customHeight="1">
      <ns0:c r="A15" s="410" t="str">
        <ns0:v>计薪依据</ns0:v>
      </ns0:c>
      <ns0:c r="B15" s="410" t="str">
        <ns0:v>详见逐日计薪表</ns0:v>
      </ns0:c>
      <ns0:c r="C15" s="410" t="str">
        <ns0:v>以逐日出勤及工资记录核对</ns0:v>
      </ns0:c>
      <ns0:c r="D15" s="410"/>
    </ns0:row>
    <ns0:row r="16" ht="44" customHeight="1">
      <ns0:c r="A16" s="410"/>
      <ns0:c r="B16" s="410"/>
      <ns0:c r="C16" s="410"/>
      <ns0:c r="D16" s="410"/>
    </ns0:row>
    <ns0:row r="17" ht="44" customHeight="1">
      <ns0:c r="A17" s="432" t="str">
        <ns0:v>十一月日期</ns0:v>
      </ns0:c>
      <ns0:c r="B17" s="432" t="str">
        <ns0:v>计薪天数</ns0:v>
      </ns0:c>
      <ns0:c r="C17" s="432" t="str">
        <ns0:v>证据/计薪状态</ns0:v>
      </ns0:c>
      <ns0:c r="D17" s="432" t="str">
        <ns0:v>依据与核对说明</ns0:v>
      </ns0:c>
    </ns0:row>
    <ns0:row r="18" ht="44" customHeight="1">
      <ns0:c r="A18" s="429" t="n">
        <ns0:f>DATE(2026,11,1)</ns0:f>
        <ns0:v>46327</ns0:v>
      </ns0:c>
      <ns0:c r="B18" s="430" t="n">
        <ns0:v>1</ns0:v>
      </ns0:c>
      <ns0:c r="C18" s="309" t="str">
        <ns0:v>已有考勤</ns0:v>
      </ns0:c>
      <ns0:c r="D18" s="309" t="str">
        <ns0:v>11/1大小休09:55—18:56；本表只算当日工资，未新增加班</ns0:v>
      </ns0:c>
    </ns0:row>
    <ns0:row r="19" ht="44" customHeight="1">
      <ns0:c r="A19" s="429" t="n">
        <ns0:f>DATE(2026,11,2)</ns0:f>
        <ns0:v>46328</ns0:v>
      </ns0:c>
      <ns0:c r="B19" s="430" t="n">
        <ns0:v>1</ns0:v>
      </ns0:c>
      <ns0:c r="C19" s="309" t="str">
        <ns0:v>已有完整考勤</ns0:v>
      </ns0:c>
      <ns0:c r="D19" s="309" t="str">
        <ns0:v>11/2当前打卡09:57—19:00；当日工资已列入，整小时加班为0</ns0:v>
      </ns0:c>
    </ns0:row>
    <ns0:row r="20" ht="44" customHeight="1">
      <ns0:c r="A20" s="429" t="n">
        <ns0:f>DATE(2026,11,3)</ns0:f>
        <ns0:v>46329</ns0:v>
      </ns0:c>
      <ns0:c r="B20" s="430" t="n">
        <ns0:v>1</ns0:v>
      </ns0:c>
      <ns0:c r="C20" s="309" t="str">
        <ns0:v>已有上班打卡</ns0:v>
      </ns0:c>
      <ns0:c r="D20" s="309" t="str">
        <ns0:v>11/3上班09:58；尚无下班打卡，工资暂计，最终按实际出勤结算</ns0:v>
      </ns0:c>
    </ns0:row>
    <ns0:row r="21" ht="44" customHeight="1">
      <ns0:c r="A21" s="429" t="n">
        <ns0:f>DATE(2026,11,4)</ns0:f>
        <ns0:v>46330</ns0:v>
      </ns0:c>
      <ns0:c r="B21" s="430" t="n">
        <ns0:v>1</ns0:v>
      </ns0:c>
      <ns0:c r="C21" s="309" t="str">
        <ns0:v>预计计薪</ns0:v>
      </ns0:c>
      <ns0:c r="D21" s="309" t="str">
        <ns0:v>暂计工资，最终按实际出勤结算</ns0:v>
      </ns0:c>
    </ns0:row>
    <ns0:row r="22" ht="44" customHeight="1">
      <ns0:c r="A22" s="429" t="n">
        <ns0:f>DATE(2026,11,5)</ns0:f>
        <ns0:v>46331</ns0:v>
      </ns0:c>
      <ns0:c r="B22" s="430"/>
      <ns0:c r="C22" s="309" t="str">
        <ns0:v>未确认；不自动计薪</ns0:v>
      </ns0:c>
      <ns0:c r="D22" s="309" t="str">
        <ns0:v>后续实际工作日填1、休息日填0；不要仅按日历自动计薪</ns0:v>
      </ns0:c>
    </ns0:row>
    <ns0:row r="23" ht="44" customHeight="1">
      <ns0:c r="A23" s="429" t="n">
        <ns0:f>DATE(2026,11,6)</ns0:f>
        <ns0:v>46332</ns0:v>
      </ns0:c>
      <ns0:c r="B23" s="430"/>
      <ns0:c r="C23" s="309" t="str">
        <ns0:v>未确认；不自动计薪</ns0:v>
      </ns0:c>
      <ns0:c r="D23" s="309" t="str">
        <ns0:v>后续实际工作日填1、休息日填0；不要仅按日历自动计薪</ns0:v>
      </ns0:c>
    </ns0:row>
    <ns0:row r="24" ht="44" customHeight="1">
      <ns0:c r="A24" s="429" t="n">
        <ns0:f>DATE(2026,11,7)</ns0:f>
        <ns0:v>46333</ns0:v>
      </ns0:c>
      <ns0:c r="B24" s="430"/>
      <ns0:c r="C24" s="309" t="str">
        <ns0:v>未确认；不自动计薪</ns0:v>
      </ns0:c>
      <ns0:c r="D24" s="309" t="str">
        <ns0:v>后续实际工作日填1、休息日填0；不要仅按日历自动计薪</ns0:v>
      </ns0:c>
    </ns0:row>
    <ns0:row r="25" ht="44" customHeight="1">
      <ns0:c r="A25" s="429" t="n">
        <ns0:f>DATE(2026,11,8)</ns0:f>
        <ns0:v>46334</ns0:v>
      </ns0:c>
      <ns0:c r="B25" s="430"/>
      <ns0:c r="C25" s="309" t="str">
        <ns0:v>未确认；不自动计薪</ns0:v>
      </ns0:c>
      <ns0:c r="D25" s="309" t="str">
        <ns0:v>后续实际工作日填1、休息日填0；不要仅按日历自动计薪</ns0:v>
      </ns0:c>
    </ns0:row>
    <ns0:row r="26" ht="44" customHeight="1">
      <ns0:c r="A26" s="429" t="n">
        <ns0:f>DATE(2026,11,9)</ns0:f>
        <ns0:v>46335</ns0:v>
      </ns0:c>
      <ns0:c r="B26" s="430"/>
      <ns0:c r="C26" s="309" t="str">
        <ns0:v>未确认；不自动计薪</ns0:v>
      </ns0:c>
      <ns0:c r="D26" s="309" t="str">
        <ns0:v>后续实际工作日填1、休息日填0；不要仅按日历自动计薪</ns0:v>
      </ns0:c>
    </ns0:row>
    <ns0:row r="27" ht="44" customHeight="1">
      <ns0:c r="A27" s="429" t="n">
        <ns0:f>DATE(2026,11,10)</ns0:f>
        <ns0:v>46336</ns0:v>
      </ns0:c>
      <ns0:c r="B27" s="430"/>
      <ns0:c r="C27" s="309" t="str">
        <ns0:v>未确认；不自动计薪</ns0:v>
      </ns0:c>
      <ns0:c r="D27" s="309" t="str">
        <ns0:v>后续实际工作日填1、休息日填0；不要仅按日历自动计薪</ns0:v>
      </ns0:c>
    </ns0:row>
    <ns0:row r="28" ht="44" customHeight="1">
      <ns0:c r="A28" s="429" t="n">
        <ns0:f>DATE(2026,11,11)</ns0:f>
        <ns0:v>46337</ns0:v>
      </ns0:c>
      <ns0:c r="B28" s="430"/>
      <ns0:c r="C28" s="309" t="str">
        <ns0:v>未确认；不自动计薪</ns0:v>
      </ns0:c>
      <ns0:c r="D28" s="309" t="str">
        <ns0:v>后续实际工作日填1、休息日填0；不要仅按日历自动计薪</ns0:v>
      </ns0:c>
    </ns0:row>
    <ns0:row r="29" ht="44" customHeight="1">
      <ns0:c r="A29" s="429" t="n">
        <ns0:f>DATE(2026,11,12)</ns0:f>
        <ns0:v>46338</ns0:v>
      </ns0:c>
      <ns0:c r="B29" s="430"/>
      <ns0:c r="C29" s="309" t="str">
        <ns0:v>未确认；不自动计薪</ns0:v>
      </ns0:c>
      <ns0:c r="D29" s="309" t="str">
        <ns0:v>后续实际工作日填1、休息日填0；不要仅按日历自动计薪</ns0:v>
      </ns0:c>
    </ns0:row>
    <ns0:row r="30" ht="44" customHeight="1">
      <ns0:c r="A30" s="429" t="n">
        <ns0:f>DATE(2026,11,13)</ns0:f>
        <ns0:v>46339</ns0:v>
      </ns0:c>
      <ns0:c r="B30" s="430"/>
      <ns0:c r="C30" s="309" t="str">
        <ns0:v>未确认；不自动计薪</ns0:v>
      </ns0:c>
      <ns0:c r="D30" s="309" t="str">
        <ns0:v>后续实际工作日填1、休息日填0；不要仅按日历自动计薪</ns0:v>
      </ns0:c>
    </ns0:row>
    <ns0:row r="31" ht="44" customHeight="1">
      <ns0:c r="A31" s="429" t="n">
        <ns0:f>DATE(2026,11,14)</ns0:f>
        <ns0:v>46340</ns0:v>
      </ns0:c>
      <ns0:c r="B31" s="430"/>
      <ns0:c r="C31" s="309" t="str">
        <ns0:v>未确认；不自动计薪</ns0:v>
      </ns0:c>
      <ns0:c r="D31" s="309" t="str">
        <ns0:v>后续实际工作日填1、休息日填0；不要仅按日历自动计薪</ns0:v>
      </ns0:c>
    </ns0:row>
    <ns0:row r="32" ht="44" customHeight="1">
      <ns0:c r="A32" s="429" t="n">
        <ns0:f>DATE(2026,11,15)</ns0:f>
        <ns0:v>46341</ns0:v>
      </ns0:c>
      <ns0:c r="B32" s="430"/>
      <ns0:c r="C32" s="309" t="str">
        <ns0:v>未确认；不自动计薪</ns0:v>
      </ns0:c>
      <ns0:c r="D32" s="309" t="str">
        <ns0:v>后续实际工作日填1、休息日填0；不要仅按日历自动计薪</ns0:v>
      </ns0:c>
    </ns0:row>
    <ns0:row r="33" ht="44" customHeight="1">
      <ns0:c r="A33" s="429" t="n">
        <ns0:f>DATE(2026,11,16)</ns0:f>
        <ns0:v>46342</ns0:v>
      </ns0:c>
      <ns0:c r="B33" s="430"/>
      <ns0:c r="C33" s="309" t="str">
        <ns0:v>未确认；不自动计薪</ns0:v>
      </ns0:c>
      <ns0:c r="D33" s="309" t="str">
        <ns0:v>后续实际工作日填1、休息日填0；不要仅按日历自动计薪</ns0:v>
      </ns0:c>
    </ns0:row>
    <ns0:row r="34" ht="44" customHeight="1">
      <ns0:c r="A34" s="429" t="n">
        <ns0:f>DATE(2026,11,17)</ns0:f>
        <ns0:v>46343</ns0:v>
      </ns0:c>
      <ns0:c r="B34" s="430"/>
      <ns0:c r="C34" s="309" t="str">
        <ns0:v>未确认；不自动计薪</ns0:v>
      </ns0:c>
      <ns0:c r="D34" s="309" t="str">
        <ns0:v>后续实际工作日填1、休息日填0；不要仅按日历自动计薪</ns0:v>
      </ns0:c>
    </ns0:row>
    <ns0:row r="35" ht="44" customHeight="1">
      <ns0:c r="A35" s="429" t="n">
        <ns0:f>DATE(2026,11,18)</ns0:f>
        <ns0:v>46344</ns0:v>
      </ns0:c>
      <ns0:c r="B35" s="430"/>
      <ns0:c r="C35" s="309" t="str">
        <ns0:v>未确认；不自动计薪</ns0:v>
      </ns0:c>
      <ns0:c r="D35" s="309" t="str">
        <ns0:v>后续实际工作日填1、休息日填0；不要仅按日历自动计薪</ns0:v>
      </ns0:c>
    </ns0:row>
    <ns0:row r="36" ht="44" customHeight="1">
      <ns0:c r="A36" s="429" t="n">
        <ns0:f>DATE(2026,11,19)</ns0:f>
        <ns0:v>46345</ns0:v>
      </ns0:c>
      <ns0:c r="B36" s="430"/>
      <ns0:c r="C36" s="309" t="str">
        <ns0:v>未确认；不自动计薪</ns0:v>
      </ns0:c>
      <ns0:c r="D36" s="309" t="str">
        <ns0:v>后续实际工作日填1、休息日填0；不要仅按日历自动计薪</ns0:v>
      </ns0:c>
    </ns0:row>
    <ns0:row r="37" ht="44" customHeight="1">
      <ns0:c r="A37" s="429" t="n">
        <ns0:f>DATE(2026,11,20)</ns0:f>
        <ns0:v>46346</ns0:v>
      </ns0:c>
      <ns0:c r="B37" s="430"/>
      <ns0:c r="C37" s="309" t="str">
        <ns0:v>未确认；不自动计薪</ns0:v>
      </ns0:c>
      <ns0:c r="D37" s="309" t="str">
        <ns0:v>后续实际工作日填1、休息日填0；不要仅按日历自动计薪</ns0:v>
      </ns0:c>
    </ns0:row>
    <ns0:row r="38" ht="44" customHeight="1">
      <ns0:c r="A38" s="429" t="n">
        <ns0:f>DATE(2026,11,21)</ns0:f>
        <ns0:v>46347</ns0:v>
      </ns0:c>
      <ns0:c r="B38" s="430"/>
      <ns0:c r="C38" s="309" t="str">
        <ns0:v>未确认；不自动计薪</ns0:v>
      </ns0:c>
      <ns0:c r="D38" s="309" t="str">
        <ns0:v>后续实际工作日填1、休息日填0；不要仅按日历自动计薪</ns0:v>
      </ns0:c>
    </ns0:row>
    <ns0:row r="39" ht="44" customHeight="1">
      <ns0:c r="A39" s="429" t="n">
        <ns0:f>DATE(2026,11,22)</ns0:f>
        <ns0:v>46348</ns0:v>
      </ns0:c>
      <ns0:c r="B39" s="430"/>
      <ns0:c r="C39" s="309" t="str">
        <ns0:v>未确认；不自动计薪</ns0:v>
      </ns0:c>
      <ns0:c r="D39" s="309" t="str">
        <ns0:v>后续实际工作日填1、休息日填0；不要仅按日历自动计薪</ns0:v>
      </ns0:c>
    </ns0:row>
    <ns0:row r="40" ht="44" customHeight="1">
      <ns0:c r="A40" s="429" t="n">
        <ns0:f>DATE(2026,11,23)</ns0:f>
        <ns0:v>46349</ns0:v>
      </ns0:c>
      <ns0:c r="B40" s="430"/>
      <ns0:c r="C40" s="309" t="str">
        <ns0:v>未确认；不自动计薪</ns0:v>
      </ns0:c>
      <ns0:c r="D40" s="309" t="str">
        <ns0:v>后续实际工作日填1、休息日填0；不要仅按日历自动计薪</ns0:v>
      </ns0:c>
    </ns0:row>
    <ns0:row r="41" ht="44" customHeight="1">
      <ns0:c r="A41" s="429" t="n">
        <ns0:f>DATE(2026,11,24)</ns0:f>
        <ns0:v>46350</ns0:v>
      </ns0:c>
      <ns0:c r="B41" s="430"/>
      <ns0:c r="C41" s="309" t="str">
        <ns0:v>未确认；不自动计薪</ns0:v>
      </ns0:c>
      <ns0:c r="D41" s="309" t="str">
        <ns0:v>后续实际工作日填1、休息日填0；不要仅按日历自动计薪</ns0:v>
      </ns0:c>
    </ns0:row>
    <ns0:row r="42" ht="44" customHeight="1">
      <ns0:c r="A42" s="429" t="n">
        <ns0:f>DATE(2026,11,25)</ns0:f>
        <ns0:v>46351</ns0:v>
      </ns0:c>
      <ns0:c r="B42" s="430"/>
      <ns0:c r="C42" s="309" t="str">
        <ns0:v>未确认；不自动计薪</ns0:v>
      </ns0:c>
      <ns0:c r="D42" s="309" t="str">
        <ns0:v>后续实际工作日填1、休息日填0；不要仅按日历自动计薪</ns0:v>
      </ns0:c>
    </ns0:row>
    <ns0:row r="43" ht="44" customHeight="1">
      <ns0:c r="A43" s="429" t="n">
        <ns0:f>DATE(2026,11,26)</ns0:f>
        <ns0:v>46352</ns0:v>
      </ns0:c>
      <ns0:c r="B43" s="430"/>
      <ns0:c r="C43" s="309" t="str">
        <ns0:v>未确认；不自动计薪</ns0:v>
      </ns0:c>
      <ns0:c r="D43" s="309" t="str">
        <ns0:v>后续实际工作日填1、休息日填0；不要仅按日历自动计薪</ns0:v>
      </ns0:c>
    </ns0:row>
    <ns0:row r="44" ht="44" customHeight="1">
      <ns0:c r="A44" s="429" t="n">
        <ns0:f>DATE(2026,11,27)</ns0:f>
        <ns0:v>46353</ns0:v>
      </ns0:c>
      <ns0:c r="B44" s="430"/>
      <ns0:c r="C44" s="309" t="str">
        <ns0:v>未确认；不自动计薪</ns0:v>
      </ns0:c>
      <ns0:c r="D44" s="309" t="str">
        <ns0:v>后续实际工作日填1、休息日填0；不要仅按日历自动计薪</ns0:v>
      </ns0:c>
    </ns0:row>
    <ns0:row r="45" ht="44" customHeight="1">
      <ns0:c r="A45" s="429" t="n">
        <ns0:f>DATE(2026,11,28)</ns0:f>
        <ns0:v>46354</ns0:v>
      </ns0:c>
      <ns0:c r="B45" s="430"/>
      <ns0:c r="C45" s="309" t="str">
        <ns0:v>未确认；不自动计薪</ns0:v>
      </ns0:c>
      <ns0:c r="D45" s="309" t="str">
        <ns0:v>后续实际工作日填1、休息日填0；不要仅按日历自动计薪</ns0:v>
      </ns0:c>
    </ns0:row>
    <ns0:row r="46" ht="44" customHeight="1">
      <ns0:c r="A46" s="429" t="n">
        <ns0:f>DATE(2026,11,29)</ns0:f>
        <ns0:v>46355</ns0:v>
      </ns0:c>
      <ns0:c r="B46" s="430"/>
      <ns0:c r="C46" s="309" t="str">
        <ns0:v>未确认；不自动计薪</ns0:v>
      </ns0:c>
      <ns0:c r="D46" s="309" t="str">
        <ns0:v>后续实际工作日填1、休息日填0；不要仅按日历自动计薪</ns0:v>
      </ns0:c>
    </ns0:row>
    <ns0:row r="47" ht="44" customHeight="1">
      <ns0:c r="A47" s="429" t="n">
        <ns0:f>DATE(2026,11,30)</ns0:f>
        <ns0:v>46356</ns0:v>
      </ns0:c>
      <ns0:c r="B47" s="430"/>
      <ns0:c r="C47" s="309" t="str">
        <ns0:v>未确认；不自动计薪</ns0:v>
      </ns0:c>
      <ns0:c r="D47" s="309" t="str">
        <ns0:v>后续实际工作日填1、休息日填0；不要仅按日历自动计薪</ns0:v>
      </ns0:c>
    </ns0:row>
  </ns0:sheetData>
  <ns0:pageMargins left="0.7" right="0.7" top="0.75" bottom="0.75" header="0.3" footer="0.3"/>
</ns0:worksheet>
</file>

<file path=xl/worksheets/sheet5.xml><?xml version="1.0" encoding="utf-8"?>
<ns0:worksheet xmlns:ns0="http://schemas.openxmlformats.org/spreadsheetml/2006/main">
  <ns0:sheetPr>
    <ns0:tabColor rgb="FF17365D"/>
  </ns0:sheetPr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16" hidden="0" customWidth="1"/>
    <ns0:col min="2" max="2" width="18" hidden="0" customWidth="1"/>
    <ns0:col min="3" max="3" width="16" hidden="0" customWidth="1"/>
    <ns0:col min="4" max="4" width="17" hidden="0" customWidth="1"/>
    <ns0:col min="5" max="5" width="17" hidden="0" customWidth="1"/>
    <ns0:col min="6" max="6" width="17" hidden="0" customWidth="1"/>
    <ns0:col min="7" max="7" width="68" hidden="0" customWidth="1"/>
    <ns0:col min="8" max="8" width="58" hidden="0" customWidth="1"/>
    <ns0:col min="9" max="9" width="75" hidden="0" customWidth="1"/>
  </ns0:cols>
  <ns0:sheetData>
    <ns0:row r="1" ht="38" customHeight="1">
      <ns0:c r="A1" s="299" t="str">
        <ns0:v>工作日加班工资差额明细</ns0:v>
      </ns0:c>
      <ns0:c r="B1" s="299"/>
      <ns0:c r="C1" s="299"/>
      <ns0:c r="D1" s="299"/>
      <ns0:c r="E1" s="299"/>
      <ns0:c r="F1" s="299"/>
      <ns0:c r="G1" s="299"/>
    </ns0:row>
    <ns0:row r="2">
      <ns0:c r="A2" s="205" t="str">
        <ns0:v>统一月平均工资基数</ns0:v>
      </ns0:c>
      <ns0:c r="B2" s="225" t="n">
        <ns0:f>'核算总览'!B3</ns0:f>
        <ns0:v>24359.178888888888</ns0:v>
      </ns0:c>
      <ns0:c r="C2" s="205" t="str"/>
      <ns0:c r="D2" s="205" t="str"/>
      <ns0:c r="E2" s="205" t="str"/>
      <ns0:c r="F2" s="205" t="str"/>
      <ns0:c r="G2" s="205" t="str"/>
    </ns0:row>
    <ns0:row r="3" ht="34" customHeight="1">
      <ns0:c r="A3" s="331" t="str">
        <ns0:v>月份</ns0:v>
      </ns0:c>
      <ns0:c r="B3" s="331" t="str">
        <ns0:v>公司补贴档位</ns0:v>
      </ns0:c>
      <ns0:c r="C3" s="331" t="str">
        <ns0:v>计费小时</ns0:v>
      </ns0:c>
      <ns0:c r="D3" s="331" t="str">
        <ns0:v>应付150%</ns0:v>
      </ns0:c>
      <ns0:c r="E3" s="331" t="str">
        <ns0:v>工资单已付</ns0:v>
      </ns0:c>
      <ns0:c r="F3" s="331" t="str">
        <ns0:v>差额</ns0:v>
      </ns0:c>
      <ns0:c r="G3" s="331" t="str">
        <ns0:v>计算依据</ns0:v>
      </ns0:c>
      <ns0:c r="H3" s="331" t="str">
        <ns0:v>工资单原图</ns0:v>
      </ns0:c>
      <ns0:c r="I3" s="331" t="str">
        <ns0:v>考勤与政策来源</ns0:v>
      </ns0:c>
    </ns0:row>
    <ns0:row r="4" ht="78" customHeight="1">
      <ns0:c r="A4" s="205" t="str">
        <ns0:f>'月度加班'!A3</ns0:f>
        <ns0:v>2026-01</ns0:v>
      </ns0:c>
      <ns0:c r="B4" s="205" t="str">
        <ns0:v>月度9小时档</ns0:v>
      </ns0:c>
      <ns0:c r="C4" s="310" t="n">
        <ns0:f>'月度加班'!Q3</ns0:f>
        <ns0:v>18.25</ns0:v>
      </ns0:c>
      <ns0:c r="D4" s="225" t="n">
        <ns0:f>'月度加班'!I3</ns0:f>
        <ns0:v>3832.3708165708813</ns0:v>
      </ns0:c>
      <ns0:c r="E4" s="225" t="n">
        <ns0:f>'月度加班'!H3</ns0:f>
        <ns0:v>967</ns0:v>
      </ns0:c>
      <ns0:c r="F4" s="225" t="n">
        <ns0:f>D4-E4</ns0:f>
        <ns0:v>2865.3708165708813</ns0:v>
      </ns0:c>
      <ns0:c r="G4" s="309" t="str">
        <ns0:f>'月度加班'!N3</ns0:f>
        <ns0:v>单双休按逐周实际工作日减应出勤日计算；国家放假调班与全天年假调整应出勤日，部分请假有工作计1天。多出天数按8小时/天折算；审批加班单列。</ns0:v>
      </ns0:c>
      <ns0:c r="H4" s="339" t="str">
        <ns0:f>'工资单转录'!G4</ns0:f>
        <ns0:v>聊天工资单放大原图/2026-01_聊天工资单放大.png</ns0:v>
      </ns0:c>
      <ns0:c r="I4" s="339" t="str">
        <ns0:v>/Users/a./Desktop/飞书考勤留存_2026-10-27/页面文本与说明_归档/2026-01_个人月统计_页面文本.txt；/Users/a./Desktop/飞书考勤留存_2026-10-27/工资单与加班政策证据_2026-10-27/入职文档原件/新员工入职文档.pdf</ns0:v>
      </ns0:c>
    </ns0:row>
    <ns0:row r="5" ht="78" customHeight="1">
      <ns0:c r="A5" s="205" t="str">
        <ns0:f>'月度加班'!A4</ns0:f>
        <ns0:v>2026-02</ns0:v>
      </ns0:c>
      <ns0:c r="B5" s="205" t="str">
        <ns0:v>月度9小时档</ns0:v>
      </ns0:c>
      <ns0:c r="C5" s="310" t="n">
        <ns0:f>'月度加班'!Q4</ns0:f>
        <ns0:v>14.75</ns0:v>
      </ns0:c>
      <ns0:c r="D5" s="225" t="n">
        <ns0:f>'月度加班'!I4</ns0:f>
        <ns0:v>3097.395591475096</ns0:v>
      </ns0:c>
      <ns0:c r="E5" s="225" t="n">
        <ns0:f>'月度加班'!H4</ns0:f>
        <ns0:v>985</ns0:v>
      </ns0:c>
      <ns0:c r="F5" s="225" t="n">
        <ns0:f>D5-E5</ns0:f>
        <ns0:v>2112.395591475096</ns0:v>
      </ns0:c>
      <ns0:c r="G5" s="309" t="str">
        <ns0:f>'月度加班'!N4</ns0:f>
        <ns0:v>单双休按逐周实际工作日减应出勤日计算；国家放假调班与全天年假调整应出勤日，部分请假有工作计1天。多出天数按8小时/天折算；审批加班单列。</ns0:v>
      </ns0:c>
      <ns0:c r="H5" s="339" t="str">
        <ns0:f>'工资单转录'!G5</ns0:f>
        <ns0:v>聊天工资单放大原图/2026-02_聊天工资单放大.png</ns0:v>
      </ns0:c>
      <ns0:c r="I5" s="339" t="str">
        <ns0:v>/Users/a./Desktop/飞书考勤留存_2026-10-27/页面文本与说明_归档/2026-02_个人月统计_页面文本.txt；/Users/a./Desktop/飞书考勤留存_2026-10-27/工资单与加班政策证据_2026-10-27/入职文档原件/新员工入职文档.pdf</ns0:v>
      </ns0:c>
    </ns0:row>
    <ns0:row r="6" ht="78" customHeight="1">
      <ns0:c r="A6" s="205" t="str">
        <ns0:f>'月度加班'!A6</ns0:f>
        <ns0:v>2026-04</ns0:v>
      </ns0:c>
      <ns0:c r="B6" s="205" t="str">
        <ns0:v>逐日档</ns0:v>
      </ns0:c>
      <ns0:c r="C6" s="310" t="n">
        <ns0:f>'月度加班'!Q6</ns0:f>
        <ns0:v>24</ns0:v>
      </ns0:c>
      <ns0:c r="D6" s="225" t="n">
        <ns0:f>'月度加班'!I6</ns0:f>
        <ns0:v>5039.830114942529</ns0:v>
      </ns0:c>
      <ns0:c r="E6" s="225" t="n">
        <ns0:f>'月度加班'!H6</ns0:f>
        <ns0:v>1291.7</ns0:v>
      </ns0:c>
      <ns0:c r="F6" s="225" t="n">
        <ns0:f>D6-E6</ns0:f>
        <ns0:v>3748.130114942529</ns0:v>
      </ns0:c>
      <ns0:c r="G6" s="309" t="str">
        <ns0:f>'月度加班'!N6</ns0:f>
        <ns0:v>单双休按逐周实际工作日减应出勤日计算；国家放假调班与全天年假调整应出勤日，部分请假有工作计1天。多出天数按8小时/天折算；审批加班单列。</ns0:v>
      </ns0:c>
      <ns0:c r="H6" s="339" t="str">
        <ns0:f>'工资单转录'!G7</ns0:f>
        <ns0:v>工资单及聊天原图/2026-04_工资单_完整.jpg</ns0:v>
      </ns0:c>
      <ns0:c r="I6" s="339" t="str">
        <ns0:v>/Users/a./Desktop/飞书考勤留存_2026-10-27/逐日原始打卡截图与汇总_2026-10-27/原始截图；/Users/a./Desktop/飞书考勤留存_2026-10-27/工资单与加班政策证据_2026-10-27/加班政策原图/2026-03-22_按日核算加班补贴_群公告.jpg</ns0:v>
      </ns0:c>
    </ns0:row>
    <ns0:row r="7" ht="78" customHeight="1">
      <ns0:c r="A7" s="205" t="str">
        <ns0:f>'月度加班'!A7</ns0:f>
        <ns0:v>2026-05</ns0:v>
      </ns0:c>
      <ns0:c r="B7" s="205" t="str">
        <ns0:v>逐日档</ns0:v>
      </ns0:c>
      <ns0:c r="C7" s="310" t="n">
        <ns0:f>'月度加班'!Q7</ns0:f>
        <ns0:v>21</ns0:v>
      </ns0:c>
      <ns0:c r="D7" s="225" t="n">
        <ns0:f>'月度加班'!I7</ns0:f>
        <ns0:v>4409.851350574712</ns0:v>
      </ns0:c>
      <ns0:c r="E7" s="225" t="n">
        <ns0:f>'月度加班'!H7</ns0:f>
        <ns0:v>1095.26</ns0:v>
      </ns0:c>
      <ns0:c r="F7" s="225" t="n">
        <ns0:f>D7-E7</ns0:f>
        <ns0:v>3314.591350574712</ns0:v>
      </ns0:c>
      <ns0:c r="G7" s="309" t="str">
        <ns0:f>'月度加班'!N7</ns0:f>
        <ns0:v>单双休按逐周实际工作日减应出勤日计算；国家放假调班与全天年假调整应出勤日，部分请假有工作计1天。多出天数按8小时/天折算；审批加班单列。</ns0:v>
      </ns0:c>
      <ns0:c r="H7" s="339" t="str">
        <ns0:f>'工资单转录'!G8</ns0:f>
        <ns0:v>工资单及聊天原图/2026-05_工资单_完整.jpg</ns0:v>
      </ns0:c>
      <ns0:c r="I7" s="339" t="str">
        <ns0:v>/Users/a./Desktop/飞书考勤留存_2026-10-27/逐日原始打卡截图与汇总_2026-10-27/原始截图；/Users/a./Desktop/飞书考勤留存_2026-10-27/工资单与加班政策证据_2026-10-27/加班政策原图/2026-03-22_按日核算加班补贴_群公告.jpg</ns0:v>
      </ns0:c>
    </ns0:row>
    <ns0:row r="8" ht="78" customHeight="1">
      <ns0:c r="A8" s="205" t="str">
        <ns0:f>'月度加班'!A8</ns0:f>
        <ns0:v>2026-06</ns0:v>
      </ns0:c>
      <ns0:c r="B8" s="205" t="str">
        <ns0:v>逐日档</ns0:v>
      </ns0:c>
      <ns0:c r="C8" s="310" t="n">
        <ns0:f>'月度加班'!Q8</ns0:f>
        <ns0:v>19</ns0:v>
      </ns0:c>
      <ns0:c r="D8" s="225" t="n">
        <ns0:f>'月度加班'!I8</ns0:f>
        <ns0:v>3989.8655076628347</ns0:v>
      </ns0:c>
      <ns0:c r="E8" s="225" t="n">
        <ns0:f>'月度加班'!H8</ns0:f>
        <ns0:v>1000.02</ns0:v>
      </ns0:c>
      <ns0:c r="F8" s="225" t="n">
        <ns0:f>D8-E8</ns0:f>
        <ns0:v>2989.8455076628347</ns0:v>
      </ns0:c>
      <ns0:c r="G8" s="309" t="str">
        <ns0:f>'月度加班'!N8</ns0:f>
        <ns0:v>单双休按逐周实际工作日减应出勤日计算；国家放假调班与全天年假调整应出勤日，部分请假有工作计1天。多出天数按8小时/天折算；审批加班单列。</ns0:v>
      </ns0:c>
      <ns0:c r="H8" s="339" t="str">
        <ns0:f>'工资单转录'!G9</ns0:f>
        <ns0:v>工资单及聊天原图/2026-06_工资单_局部.jpg</ns0:v>
      </ns0:c>
      <ns0:c r="I8" s="339" t="str">
        <ns0:v>/Users/a./Desktop/飞书考勤留存_2026-10-27/逐日原始打卡截图与汇总_2026-10-27/原始截图；/Users/a./Desktop/飞书考勤留存_2026-10-27/工资单与加班政策证据_2026-10-27/加班政策原图/2026-03-22_按日核算加班补贴_群公告.jpg</ns0:v>
      </ns0:c>
    </ns0:row>
    <ns0:row r="9" ht="78" customHeight="1">
      <ns0:c r="A9" s="205" t="str">
        <ns0:f>'月度加班'!A9</ns0:f>
        <ns0:v>2026-07</ns0:v>
      </ns0:c>
      <ns0:c r="B9" s="205" t="str">
        <ns0:v>逐日档</ns0:v>
      </ns0:c>
      <ns0:c r="C9" s="310" t="n">
        <ns0:f>'月度加班'!Q9</ns0:f>
        <ns0:v>14</ns0:v>
      </ns0:c>
      <ns0:c r="D9" s="225" t="n">
        <ns0:f>'月度加班'!I9</ns0:f>
        <ns0:v>2939.9009003831416</ns0:v>
      </ns0:c>
      <ns0:c r="E9" s="225" t="n">
        <ns0:f>'月度加班'!H9</ns0:f>
        <ns0:v>560</ns0:v>
      </ns0:c>
      <ns0:c r="F9" s="225" t="n">
        <ns0:f>D9-E9</ns0:f>
        <ns0:v>2379.9009003831416</ns0:v>
      </ns0:c>
      <ns0:c r="G9" s="309" t="str">
        <ns0:f>'月度加班'!N9</ns0:f>
        <ns0:v>单双休按逐周实际工作日减应出勤日计算；国家放假调班与全天年假调整应出勤日，部分请假有工作计1天。多出天数按8小时/天折算；审批加班单列。</ns0:v>
      </ns0:c>
      <ns0:c r="H9" s="339" t="str">
        <ns0:f>'工资单转录'!G10</ns0:f>
        <ns0:v>工资单及聊天原图/2026-07_工资单_完整.jpg</ns0:v>
      </ns0:c>
      <ns0:c r="I9" s="339" t="str">
        <ns0:v>/Users/a./Desktop/飞书考勤留存_2026-10-27/逐日原始打卡截图与汇总_2026-10-27/原始截图；/Users/a./Desktop/飞书考勤留存_2026-10-27/工资单与加班政策证据_2026-10-27/加班政策原图/2026-03-22_按日核算加班补贴_群公告.jpg</ns0:v>
      </ns0:c>
    </ns0:row>
    <ns0:row r="10" ht="78" customHeight="1">
      <ns0:c r="A10" s="205" t="str">
        <ns0:f>'月度加班'!A10</ns0:f>
        <ns0:v>2026-08</ns0:v>
      </ns0:c>
      <ns0:c r="B10" s="205" t="str">
        <ns0:v>逐日档</ns0:v>
      </ns0:c>
      <ns0:c r="C10" s="310" t="n">
        <ns0:f>'月度加班'!Q10</ns0:f>
        <ns0:v>10</ns0:v>
      </ns0:c>
      <ns0:c r="D10" s="225" t="n">
        <ns0:f>'月度加班'!I10</ns0:f>
        <ns0:v>2099.9292145593868</ns0:v>
      </ns0:c>
      <ns0:c r="E10" s="225" t="n">
        <ns0:f>'月度加班'!H10</ns0:f>
        <ns0:v>434.8</ns0:v>
      </ns0:c>
      <ns0:c r="F10" s="225" t="n">
        <ns0:f>D10-E10</ns0:f>
        <ns0:v>1665.1292145593868</ns0:v>
      </ns0:c>
      <ns0:c r="G10" s="309" t="str">
        <ns0:f>'月度加班'!N10</ns0:f>
        <ns0:v>单双休按逐周实际工作日减应出勤日计算；国家放假调班与全天年假调整应出勤日，部分请假有工作计1天。多出天数按8小时/天折算；审批加班单列。</ns0:v>
      </ns0:c>
      <ns0:c r="H10" s="339" t="str">
        <ns0:f>'工资单转录'!G11</ns0:f>
        <ns0:v>工资单及聊天原图/2026-08_工资单_完整.jpg</ns0:v>
      </ns0:c>
      <ns0:c r="I10" s="339" t="str">
        <ns0:v>/Users/a./Desktop/飞书考勤留存_2026-10-27/逐日原始打卡截图与汇总_2026-10-27/原始截图；/Users/a./Desktop/飞书考勤留存_2026-10-27/工资单与加班政策证据_2026-10-27/加班政策原图/2026-03-22_按日核算加班补贴_群公告.jpg</ns0:v>
      </ns0:c>
    </ns0:row>
    <ns0:row r="11">
      <ns0:c r="A11" s="205"/>
      <ns0:c r="B11" s="205"/>
      <ns0:c r="C11" s="310"/>
      <ns0:c r="D11" s="225"/>
      <ns0:c r="E11" s="225"/>
      <ns0:c r="F11" s="225"/>
      <ns0:c r="G11" s="205"/>
    </ns0:row>
    <ns0:row r="12" ht="36" customHeight="1">
      <ns0:c r="A12" s="172" t="str">
        <ns0:v>工作日差额合计</ns0:v>
      </ns0:c>
      <ns0:c r="B12" s="172"/>
      <ns0:c r="C12" s="340" t="n">
        <ns0:f>SUM(C4:C10)</ns0:f>
        <ns0:v>121</ns0:v>
      </ns0:c>
      <ns0:c r="D12" s="173" t="n">
        <ns0:f>SUM(D4:D10)</ns0:f>
        <ns0:v>25409.14349616858</ns0:v>
      </ns0:c>
      <ns0:c r="E12" s="173" t="n">
        <ns0:f>SUM(E4:E10)</ns0:f>
        <ns0:v>6333.78</ns0:v>
      </ns0:c>
      <ns0:c r="F12" s="173" t="n">
        <ns0:f>ROUND(D12-E12,2)</ns0:f>
        <ns0:v>19075.36</ns0:v>
      </ns0:c>
      <ns0:c r="G12" s="172"/>
      <ns0:c r="H12" s="205"/>
      <ns0:c r="I12" s="205"/>
    </ns0:row>
  </ns0:sheetData>
  <ns0:pageMargins left="0.7" right="0.7" top="0.75" bottom="0.75" header="0.3" footer="0.3"/>
</ns0:worksheet>
</file>

<file path=xl/worksheets/sheet6.xml><?xml version="1.0" encoding="utf-8"?>
<ns0:worksheet xmlns:ns0="http://schemas.openxmlformats.org/spreadsheetml/2006/main">
  <ns0:sheetPr>
    <ns0:tabColor rgb="FFB66B00"/>
  </ns0:sheetPr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20" hidden="0" customWidth="1"/>
    <ns0:col min="2" max="2" width="22" hidden="0" customWidth="1"/>
    <ns0:col min="3" max="3" width="20" hidden="0" customWidth="1"/>
    <ns0:col min="4" max="4" width="22" hidden="0" customWidth="1"/>
    <ns0:col min="5" max="5" width="30" hidden="0" customWidth="1"/>
    <ns0:col min="6" max="6" width="81" hidden="0" customWidth="1"/>
    <ns0:col min="7" max="7" width="25" hidden="0" customWidth="1"/>
    <ns0:col min="8" max="8" width="93" hidden="0" customWidth="1"/>
  </ns0:cols>
  <ns0:sheetData>
    <ns0:row r="1" ht="40" customHeight="1">
      <ns0:c r="A1" s="362" t="str">
        <ns0:v>公司未支付工作日整小时加班工资明细</ns0:v>
      </ns0:c>
      <ns0:c r="B1" s="362"/>
      <ns0:c r="C1" s="362"/>
      <ns0:c r="D1" s="362"/>
      <ns0:c r="E1" s="362"/>
      <ns0:c r="F1" s="362"/>
      <ns0:c r="G1" s="362"/>
      <ns0:c r="H1" s="362"/>
    </ns0:row>
    <ns0:row r="2">
      <ns0:c r="A2" s="205" t="str">
        <ns0:v>月平均税前工资基数</ns0:v>
      </ns0:c>
      <ns0:c r="B2" s="205" t="n">
        <ns0:f>'核算总览'!B3</ns0:f>
        <ns0:v>24359.178888888888</ns0:v>
      </ns0:c>
      <ns0:c r="C2" s="205"/>
      <ns0:c r="D2" s="205" t="str">
        <ns0:v>午休扣除</ns0:v>
      </ns0:c>
      <ns0:c r="E2" s="205" t="n">
        <ns0:v>1</ns0:v>
      </ns0:c>
      <ns0:c r="F2" s="205" t="str">
        <ns0:v>工作时长＝下班－上班－午休1小时</ns0:v>
      </ns0:c>
      <ns0:c r="G2" s="205"/>
      <ns0:c r="H2" s="205"/>
    </ns0:row>
    <ns0:row r="3" ht="38" customHeight="1">
      <ns0:c r="A3" s="367" t="str">
        <ns0:v>月份</ns0:v>
      </ns0:c>
      <ns0:c r="B3" s="367" t="str">
        <ns0:v>每日整小时合计</ns0:v>
      </ns0:c>
      <ns0:c r="C3" s="367" t="str">
        <ns0:v>原已计入小时</ns0:v>
      </ns0:c>
      <ns0:c r="D3" s="367" t="str">
        <ns0:v>未支付整小时</ns0:v>
      </ns0:c>
      <ns0:c r="E3" s="367" t="str">
        <ns0:v>150%应付金额</ns0:v>
      </ns0:c>
      <ns0:c r="F3" s="367" t="str">
        <ns0:v>计算及扣重说明</ns0:v>
      </ns0:c>
      <ns0:c r="G3" s="205"/>
      <ns0:c r="H3" s="205"/>
    </ns0:row>
    <ns0:row r="4" ht="44" customHeight="1">
      <ns0:c r="A4" s="205" t="str">
        <ns0:v>2025-12</ns0:v>
      </ns0:c>
      <ns0:c r="B4" s="310" t="n">
        <ns0:f>SUMIFS($F$21:$F$120,$B$21:$B$120,A4)</ns0:f>
        <ns0:v>5</ns0:v>
      </ns0:c>
      <ns0:c r="C4" s="310" t="n">
        <ns0:v>0</ns0:v>
      </ns0:c>
      <ns0:c r="D4" s="310" t="n">
        <ns0:f>MAX(0,INT(B4-C4))</ns0:f>
        <ns0:v>5</ns0:v>
      </ns0:c>
      <ns0:c r="E4" s="225" t="n">
        <ns0:f>ROUND(D4*$B$2/(21.75*8)*1.5,2)</ns0:f>
        <ns0:v>1049.96</ns0:v>
      </ns0:c>
      <ns0:c r="F4" s="309" t="str">
        <ns0:v>每日超8小时向下取整；原工作日加班差额未计入本月。</ns0:v>
      </ns0:c>
      <ns0:c r="G4" s="205"/>
      <ns0:c r="H4" s="205"/>
    </ns0:row>
    <ns0:row r="5" ht="44" customHeight="1">
      <ns0:c r="A5" s="205" t="str">
        <ns0:v>2026-01</ns0:v>
      </ns0:c>
      <ns0:c r="B5" s="310" t="n">
        <ns0:f>SUMIFS($F$21:$F$120,$B$21:$B$120,A5)</ns0:f>
        <ns0:v>14</ns0:v>
      </ns0:c>
      <ns0:c r="C5" s="310" t="n">
        <ns0:f>'月度加班'!Q3</ns0:f>
        <ns0:v>18.25</ns0:v>
      </ns0:c>
      <ns0:c r="D5" s="310" t="n">
        <ns0:f>MAX(0,INT(B5-C5))</ns0:f>
        <ns0:v>0</ns0:v>
      </ns0:c>
      <ns0:c r="E5" s="225" t="n">
        <ns0:f>ROUND(D5*$B$2/(21.75*8)*1.5,2)</ns0:f>
        <ns0:v>0</ns0:v>
      </ns0:c>
      <ns0:c r="F5" s="309" t="str">
        <ns0:v>每日超8小时向下取整；减去原工作日加班差额中已计入小时。</ns0:v>
      </ns0:c>
      <ns0:c r="G5" s="205"/>
      <ns0:c r="H5" s="205"/>
    </ns0:row>
    <ns0:row r="6" ht="44" customHeight="1">
      <ns0:c r="A6" s="205" t="str">
        <ns0:v>2026-02</ns0:v>
      </ns0:c>
      <ns0:c r="B6" s="310" t="n">
        <ns0:f>SUMIFS($F$21:$F$120,$B$21:$B$120,A6)</ns0:f>
        <ns0:v>9</ns0:v>
      </ns0:c>
      <ns0:c r="C6" s="310" t="n">
        <ns0:f>'月度加班'!Q4</ns0:f>
        <ns0:v>14.75</ns0:v>
      </ns0:c>
      <ns0:c r="D6" s="310" t="n">
        <ns0:f>MAX(0,INT(B6-C6))</ns0:f>
        <ns0:v>0</ns0:v>
      </ns0:c>
      <ns0:c r="E6" s="225" t="n">
        <ns0:f>ROUND(D6*$B$2/(21.75*8)*1.5,2)</ns0:f>
        <ns0:v>0</ns0:v>
      </ns0:c>
      <ns0:c r="F6" s="309" t="str">
        <ns0:v>每日超8小时向下取整；减去原工作日加班差额中已计入小时。</ns0:v>
      </ns0:c>
      <ns0:c r="G6" s="205"/>
      <ns0:c r="H6" s="205"/>
    </ns0:row>
    <ns0:row r="7" ht="44" customHeight="1">
      <ns0:c r="A7" s="205" t="str">
        <ns0:v>2026-03</ns0:v>
      </ns0:c>
      <ns0:c r="B7" s="310" t="n">
        <ns0:f>SUMIFS($F$21:$F$120,$B$21:$B$120,A7)</ns0:f>
        <ns0:v>4</ns0:v>
      </ns0:c>
      <ns0:c r="C7" s="310" t="n">
        <ns0:v>0</ns0:v>
      </ns0:c>
      <ns0:c r="D7" s="310" t="n">
        <ns0:f>MAX(0,INT(B7-C7))</ns0:f>
        <ns0:v>4</ns0:v>
      </ns0:c>
      <ns0:c r="E7" s="225" t="n">
        <ns0:f>ROUND(D7*$B$2/(21.75*8)*1.5,2)</ns0:f>
        <ns0:v>839.97</ns0:v>
      </ns0:c>
      <ns0:c r="F7" s="309" t="str">
        <ns0:v>每日超8小时向下取整；原工作日加班差额未计入本月。</ns0:v>
      </ns0:c>
      <ns0:c r="G7" s="205"/>
      <ns0:c r="H7" s="205"/>
    </ns0:row>
    <ns0:row r="8" ht="44" customHeight="1">
      <ns0:c r="A8" s="205" t="str">
        <ns0:v>2026-04</ns0:v>
      </ns0:c>
      <ns0:c r="B8" s="310" t="n">
        <ns0:f>SUMIFS($F$21:$F$120,$B$21:$B$120,A8)</ns0:f>
        <ns0:v>24</ns0:v>
      </ns0:c>
      <ns0:c r="C8" s="310" t="n">
        <ns0:f>'月度加班'!Q6</ns0:f>
        <ns0:v>24</ns0:v>
      </ns0:c>
      <ns0:c r="D8" s="310" t="n">
        <ns0:f>MAX(0,INT(B8-C8))</ns0:f>
        <ns0:v>0</ns0:v>
      </ns0:c>
      <ns0:c r="E8" s="225" t="n">
        <ns0:f>ROUND(D8*$B$2/(21.75*8)*1.5,2)</ns0:f>
        <ns0:v>0</ns0:v>
      </ns0:c>
      <ns0:c r="F8" s="309" t="str">
        <ns0:v>每日超8小时向下取整；减去原工作日加班差额中已计入小时。</ns0:v>
      </ns0:c>
      <ns0:c r="G8" s="205"/>
      <ns0:c r="H8" s="205"/>
    </ns0:row>
    <ns0:row r="9" ht="44" customHeight="1">
      <ns0:c r="A9" s="205" t="str">
        <ns0:v>2026-05</ns0:v>
      </ns0:c>
      <ns0:c r="B9" s="310" t="n">
        <ns0:f>SUMIFS($F$21:$F$120,$B$21:$B$120,A9)</ns0:f>
        <ns0:v>21</ns0:v>
      </ns0:c>
      <ns0:c r="C9" s="310" t="n">
        <ns0:f>'月度加班'!Q7</ns0:f>
        <ns0:v>21</ns0:v>
      </ns0:c>
      <ns0:c r="D9" s="310" t="n">
        <ns0:f>MAX(0,INT(B9-C9))</ns0:f>
        <ns0:v>0</ns0:v>
      </ns0:c>
      <ns0:c r="E9" s="225" t="n">
        <ns0:f>ROUND(D9*$B$2/(21.75*8)*1.5,2)</ns0:f>
        <ns0:v>0</ns0:v>
      </ns0:c>
      <ns0:c r="F9" s="309" t="str">
        <ns0:v>每日超8小时向下取整；减去原工作日加班差额中已计入小时。</ns0:v>
      </ns0:c>
      <ns0:c r="G9" s="205"/>
      <ns0:c r="H9" s="205"/>
    </ns0:row>
    <ns0:row r="10" ht="44" customHeight="1">
      <ns0:c r="A10" s="205" t="str">
        <ns0:v>2026-06</ns0:v>
      </ns0:c>
      <ns0:c r="B10" s="310" t="n">
        <ns0:f>SUMIFS($F$21:$F$120,$B$21:$B$120,A10)</ns0:f>
        <ns0:v>19</ns0:v>
      </ns0:c>
      <ns0:c r="C10" s="310" t="n">
        <ns0:f>'月度加班'!Q8</ns0:f>
        <ns0:v>19</ns0:v>
      </ns0:c>
      <ns0:c r="D10" s="310" t="n">
        <ns0:f>MAX(0,INT(B10-C10))</ns0:f>
        <ns0:v>0</ns0:v>
      </ns0:c>
      <ns0:c r="E10" s="225" t="n">
        <ns0:f>ROUND(D10*$B$2/(21.75*8)*1.5,2)</ns0:f>
        <ns0:v>0</ns0:v>
      </ns0:c>
      <ns0:c r="F10" s="309" t="str">
        <ns0:v>每日超8小时向下取整；减去原工作日加班差额中已计入小时。</ns0:v>
      </ns0:c>
      <ns0:c r="G10" s="205"/>
      <ns0:c r="H10" s="205"/>
    </ns0:row>
    <ns0:row r="11" ht="44" customHeight="1">
      <ns0:c r="A11" s="205" t="str">
        <ns0:v>2026-07</ns0:v>
      </ns0:c>
      <ns0:c r="B11" s="310" t="n">
        <ns0:f>SUMIFS($F$21:$F$120,$B$21:$B$120,A11)</ns0:f>
        <ns0:v>14</ns0:v>
      </ns0:c>
      <ns0:c r="C11" s="310" t="n">
        <ns0:f>'月度加班'!Q9</ns0:f>
        <ns0:v>14</ns0:v>
      </ns0:c>
      <ns0:c r="D11" s="310" t="n">
        <ns0:f>MAX(0,INT(B11-C11))</ns0:f>
        <ns0:v>0</ns0:v>
      </ns0:c>
      <ns0:c r="E11" s="225" t="n">
        <ns0:f>ROUND(D11*$B$2/(21.75*8)*1.5,2)</ns0:f>
        <ns0:v>0</ns0:v>
      </ns0:c>
      <ns0:c r="F11" s="309" t="str">
        <ns0:v>每日超8小时向下取整；减去原工作日加班差额中已计入小时。</ns0:v>
      </ns0:c>
      <ns0:c r="G11" s="205"/>
      <ns0:c r="H11" s="205"/>
    </ns0:row>
    <ns0:row r="12" ht="44" customHeight="1">
      <ns0:c r="A12" s="205" t="str">
        <ns0:v>2026-08</ns0:v>
      </ns0:c>
      <ns0:c r="B12" s="310" t="n">
        <ns0:f>SUMIFS($F$21:$F$120,$B$21:$B$120,A12)</ns0:f>
        <ns0:v>10</ns0:v>
      </ns0:c>
      <ns0:c r="C12" s="310" t="n">
        <ns0:f>'月度加班'!Q10</ns0:f>
        <ns0:v>10</ns0:v>
      </ns0:c>
      <ns0:c r="D12" s="310" t="n">
        <ns0:f>MAX(0,INT(B12-C12))</ns0:f>
        <ns0:v>0</ns0:v>
      </ns0:c>
      <ns0:c r="E12" s="225" t="n">
        <ns0:f>ROUND(D12*$B$2/(21.75*8)*1.5,2)</ns0:f>
        <ns0:v>0</ns0:v>
      </ns0:c>
      <ns0:c r="F12" s="309" t="str">
        <ns0:v>每日超8小时向下取整；减去原工作日加班差额中已计入小时。</ns0:v>
      </ns0:c>
      <ns0:c r="G12" s="205"/>
      <ns0:c r="H12" s="205"/>
    </ns0:row>
    <ns0:row r="13" ht="44" customHeight="1">
      <ns0:c r="A13" s="205" t="str">
        <ns0:v>2026-09</ns0:v>
      </ns0:c>
      <ns0:c r="B13" s="310" t="n">
        <ns0:f>SUMIFS($F$21:$F$120,$B$21:$B$120,A13)</ns0:f>
        <ns0:v>0</ns0:v>
      </ns0:c>
      <ns0:c r="C13" s="310" t="n">
        <ns0:v>0</ns0:v>
      </ns0:c>
      <ns0:c r="D13" s="310" t="n">
        <ns0:f>MAX(0,INT(B13-C13))</ns0:f>
        <ns0:v>0</ns0:v>
      </ns0:c>
      <ns0:c r="E13" s="225" t="n">
        <ns0:f>ROUND(D13*$B$2/(21.75*8)*1.5,2)</ns0:f>
        <ns0:v>0</ns0:v>
      </ns0:c>
      <ns0:c r="F13" s="309" t="str">
        <ns0:v>每日超8小时向下取整；原工作日加班差额未计入本月。</ns0:v>
      </ns0:c>
      <ns0:c r="G13" s="205"/>
      <ns0:c r="H13" s="205"/>
    </ns0:row>
    <ns0:row r="14" ht="44" customHeight="1">
      <ns0:c r="A14" s="205" t="str">
        <ns0:v>2026-10</ns0:v>
      </ns0:c>
      <ns0:c r="B14" s="310" t="n">
        <ns0:f>SUMIFS($F$21:$F$120,$B$21:$B$120,A14)</ns0:f>
        <ns0:v>4</ns0:v>
      </ns0:c>
      <ns0:c r="C14" s="310" t="n">
        <ns0:v>0</ns0:v>
      </ns0:c>
      <ns0:c r="D14" s="310" t="n">
        <ns0:f>MAX(0,INT(B14-C14))</ns0:f>
        <ns0:v>4</ns0:v>
      </ns0:c>
      <ns0:c r="E14" s="225" t="n">
        <ns0:f>ROUND(D14*$B$2/(21.75*8)*1.5,2)</ns0:f>
        <ns0:v>839.97</ns0:v>
      </ns0:c>
      <ns0:c r="F14" s="309" t="str">
        <ns0:v>每日超8小时向下取整；原工作日加班差额未计入本月。</ns0:v>
      </ns0:c>
      <ns0:c r="G14" s="205"/>
      <ns0:c r="H14" s="205"/>
    </ns0:row>
    <ns0:row r="15">
      <ns0:c r="A15" s="205"/>
      <ns0:c r="B15" s="310"/>
      <ns0:c r="C15" s="310"/>
      <ns0:c r="D15" s="310"/>
      <ns0:c r="E15" s="225"/>
      <ns0:c r="F15" s="309"/>
      <ns0:c r="G15" s="205"/>
      <ns0:c r="H15" s="205"/>
    </ns0:row>
    <ns0:row r="16" ht="36" customHeight="1">
      <ns0:c r="A16" s="371" t="str">
        <ns0:v>未支付工作日加班合计</ns0:v>
      </ns0:c>
      <ns0:c r="B16" s="373" t="n">
        <ns0:f>SUM(B4:B14)</ns0:f>
        <ns0:v>124</ns0:v>
      </ns0:c>
      <ns0:c r="C16" s="373" t="n">
        <ns0:f>SUM(C4:C14)</ns0:f>
        <ns0:v>121</ns0:v>
      </ns0:c>
      <ns0:c r="D16" s="373" t="n">
        <ns0:f>SUM(D4:D14)</ns0:f>
        <ns0:v>13</ns0:v>
      </ns0:c>
      <ns0:c r="E16" s="374" t="n">
        <ns0:f>SUM(E4:E14)</ns0:f>
        <ns0:v>2729.9</ns0:v>
      </ns0:c>
      <ns0:c r="F16" s="372"/>
      <ns0:c r="G16" s="205"/>
      <ns0:c r="H16" s="205"/>
    </ns0:row>
    <ns0:row r="17" ht="72" customHeight="1">
      <ns0:c r="A17" s="205" t="str">
        <ns0:v>说明</ns0:v>
      </ns0:c>
      <ns0:c r="B17" s="205"/>
      <ns0:c r="C17" s="205"/>
      <ns0:c r="D17" s="205"/>
      <ns0:c r="E17" s="205"/>
      <ns0:c r="F17" s="309" t="str">
        <ns0:v>逐日净工时已扣午休1小时；只计超过8小时的完整小时。1—2月原加班补贴按月核算，已计入小时按月扣除。此项与首页原工作日加班差额分列，未并入原合计。</ns0:v>
      </ns0:c>
      <ns0:c r="G17" s="205"/>
      <ns0:c r="H17" s="205"/>
    </ns0:row>
    <ns0:row r="18">
      <ns0:c r="A18" s="205"/>
      <ns0:c r="B18" s="205"/>
      <ns0:c r="C18" s="205"/>
      <ns0:c r="D18" s="205"/>
      <ns0:c r="E18" s="205"/>
      <ns0:c r="F18" s="205"/>
      <ns0:c r="G18" s="205"/>
      <ns0:c r="H18" s="205"/>
    </ns0:row>
    <ns0:row r="19" ht="44" customHeight="1">
      <ns0:c r="A19" s="367" t="str">
        <ns0:v>打卡日期</ns0:v>
      </ns0:c>
      <ns0:c r="B19" s="367" t="str">
        <ns0:v>月份</ns0:v>
      </ns0:c>
      <ns0:c r="C19" s="367" t="str">
        <ns0:v>上班</ns0:v>
      </ns0:c>
      <ns0:c r="D19" s="367" t="str">
        <ns0:v>下班</ns0:v>
      </ns0:c>
      <ns0:c r="E19" s="367" t="str">
        <ns0:v>净工作小时（已扣午休1h）</ns0:v>
      </ns0:c>
      <ns0:c r="F19" s="367" t="str">
        <ns0:v>超8小时整小时</ns0:v>
      </ns0:c>
      <ns0:c r="G19" s="367" t="str">
        <ns0:v>原逐日档已计入小时</ns0:v>
      </ns0:c>
      <ns0:c r="H19" s="367" t="str">
        <ns0:v>原始打卡截图</ns0:v>
      </ns0:c>
    </ns0:row>
    <ns0:row r="21" ht="35" customHeight="1">
      <ns0:c r="A21" s="339" t="str">
        <ns0:f>'逐日加班'!A2</ns0:f>
        <ns0:v>2025-12-19</ns0:v>
      </ns0:c>
      <ns0:c r="B21" s="339" t="str">
        <ns0:f>'逐日加班'!B2</ns0:f>
        <ns0:v>2025-12</ns0:v>
      </ns0:c>
      <ns0:c r="C21" s="339" t="str">
        <ns0:f>'逐日加班'!E2</ns0:f>
        <ns0:v>09:40</ns0:v>
      </ns0:c>
      <ns0:c r="D21" s="339" t="str">
        <ns0:f>'逐日加班'!F2</ns0:f>
        <ns0:v>21:03</ns0:v>
      </ns0:c>
      <ns0:c r="E21" s="341" t="n">
        <ns0:f>8+'逐日加班'!G2/60</ns0:f>
        <ns0:v>10.383333333333333</ns0:v>
      </ns0:c>
      <ns0:c r="F21" s="341" t="n">
        <ns0:f>MAX(0,INT(E21-8))</ns0:f>
        <ns0:v>2</ns0:v>
      </ns0:c>
      <ns0:c r="G21" s="341" t="n">
        <ns0:v>0</ns0:v>
      </ns0:c>
      <ns0:c r="H21" s="339" t="str">
        <ns0:f>'逐日加班'!N2</ns0:f>
        <ns0:v>/Users/a./Desktop/飞书考勤留存_2026-10-27/逐日原始打卡截图与汇总_2026-10-27/原始截图/2025-12-19_01_日历与上部.jpg</ns0:v>
      </ns0:c>
    </ns0:row>
    <ns0:row r="22" ht="35" customHeight="1">
      <ns0:c r="A22" s="339" t="str">
        <ns0:f>'逐日加班'!A3</ns0:f>
        <ns0:v>2025-12-22</ns0:v>
      </ns0:c>
      <ns0:c r="B22" s="339" t="str">
        <ns0:f>'逐日加班'!B3</ns0:f>
        <ns0:v>2025-12</ns0:v>
      </ns0:c>
      <ns0:c r="C22" s="339" t="str">
        <ns0:f>'逐日加班'!E3</ns0:f>
        <ns0:v>09:33</ns0:v>
      </ns0:c>
      <ns0:c r="D22" s="339" t="str">
        <ns0:f>'逐日加班'!F3</ns0:f>
        <ns0:v>20:08</ns0:v>
      </ns0:c>
      <ns0:c r="E22" s="341" t="n">
        <ns0:f>8+'逐日加班'!G3/60</ns0:f>
        <ns0:v>9.583333333333334</ns0:v>
      </ns0:c>
      <ns0:c r="F22" s="341" t="n">
        <ns0:f>MAX(0,INT(E22-8))</ns0:f>
        <ns0:v>1</ns0:v>
      </ns0:c>
      <ns0:c r="G22" s="341" t="n">
        <ns0:v>0</ns0:v>
      </ns0:c>
      <ns0:c r="H22" s="339" t="str">
        <ns0:f>'逐日加班'!N3</ns0:f>
        <ns0:v>/Users/a./Desktop/飞书考勤留存_2026-10-27/逐日原始打卡截图与汇总_2026-10-27/原始截图/2025-12-22_01_日历与上部.jpg</ns0:v>
      </ns0:c>
    </ns0:row>
    <ns0:row r="23" ht="35" customHeight="1">
      <ns0:c r="A23" s="339" t="str">
        <ns0:f>'逐日加班'!A5</ns0:f>
        <ns0:v>2025-12-24</ns0:v>
      </ns0:c>
      <ns0:c r="B23" s="339" t="str">
        <ns0:f>'逐日加班'!B5</ns0:f>
        <ns0:v>2025-12</ns0:v>
      </ns0:c>
      <ns0:c r="C23" s="339" t="str">
        <ns0:f>'逐日加班'!E5</ns0:f>
        <ns0:v>09:48</ns0:v>
      </ns0:c>
      <ns0:c r="D23" s="339" t="str">
        <ns0:f>'逐日加班'!F5</ns0:f>
        <ns0:v>20:18</ns0:v>
      </ns0:c>
      <ns0:c r="E23" s="341" t="n">
        <ns0:f>8+'逐日加班'!G5/60</ns0:f>
        <ns0:v>9.5</ns0:v>
      </ns0:c>
      <ns0:c r="F23" s="341" t="n">
        <ns0:f>MAX(0,INT(E23-8))</ns0:f>
        <ns0:v>1</ns0:v>
      </ns0:c>
      <ns0:c r="G23" s="341" t="n">
        <ns0:v>0</ns0:v>
      </ns0:c>
      <ns0:c r="H23" s="339" t="str">
        <ns0:f>'逐日加班'!N5</ns0:f>
        <ns0:v>/Users/a./Desktop/飞书考勤留存_2026-10-27/逐日原始打卡截图与汇总_2026-10-27/原始截图/2025-12-24_01_日历与上部.jpg</ns0:v>
      </ns0:c>
    </ns0:row>
    <ns0:row r="24" ht="35" customHeight="1">
      <ns0:c r="A24" s="339" t="str">
        <ns0:f>'逐日加班'!A9</ns0:f>
        <ns0:v>2025-12-29</ns0:v>
      </ns0:c>
      <ns0:c r="B24" s="339" t="str">
        <ns0:f>'逐日加班'!B9</ns0:f>
        <ns0:v>2025-12</ns0:v>
      </ns0:c>
      <ns0:c r="C24" s="339" t="str">
        <ns0:f>'逐日加班'!E9</ns0:f>
        <ns0:v>09:48</ns0:v>
      </ns0:c>
      <ns0:c r="D24" s="339" t="str">
        <ns0:f>'逐日加班'!F9</ns0:f>
        <ns0:v>20:00</ns0:v>
      </ns0:c>
      <ns0:c r="E24" s="341" t="n">
        <ns0:f>8+'逐日加班'!G9/60</ns0:f>
        <ns0:v>9.2</ns0:v>
      </ns0:c>
      <ns0:c r="F24" s="341" t="n">
        <ns0:f>MAX(0,INT(E24-8))</ns0:f>
        <ns0:v>1</ns0:v>
      </ns0:c>
      <ns0:c r="G24" s="341" t="n">
        <ns0:v>0</ns0:v>
      </ns0:c>
      <ns0:c r="H24" s="339" t="str">
        <ns0:f>'逐日加班'!N9</ns0:f>
        <ns0:v>/Users/a./Desktop/飞书考勤留存_2026-10-27/逐日原始打卡截图与汇总_2026-10-27/原始截图/2025-12-29_01_日历与上部.jpg</ns0:v>
      </ns0:c>
    </ns0:row>
    <ns0:row r="25" ht="35" customHeight="1">
      <ns0:c r="A25" s="339" t="str">
        <ns0:f>'逐日加班'!A12</ns0:f>
        <ns0:v>2026-01-04</ns0:v>
      </ns0:c>
      <ns0:c r="B25" s="339" t="str">
        <ns0:f>'逐日加班'!B12</ns0:f>
        <ns0:v>2026-01</ns0:v>
      </ns0:c>
      <ns0:c r="C25" s="339" t="str">
        <ns0:f>'逐日加班'!E12</ns0:f>
        <ns0:v>09:45</ns0:v>
      </ns0:c>
      <ns0:c r="D25" s="339" t="str">
        <ns0:f>'逐日加班'!F12</ns0:f>
        <ns0:v>19:53</ns0:v>
      </ns0:c>
      <ns0:c r="E25" s="341" t="n">
        <ns0:f>8+'逐日加班'!G12/60</ns0:f>
        <ns0:v>9.133333333333333</ns0:v>
      </ns0:c>
      <ns0:c r="F25" s="341" t="n">
        <ns0:f>MAX(0,INT(E25-8))</ns0:f>
        <ns0:v>1</ns0:v>
      </ns0:c>
      <ns0:c r="G25" s="341" t="n">
        <ns0:v>0</ns0:v>
      </ns0:c>
      <ns0:c r="H25" s="339" t="str">
        <ns0:f>'逐日加班'!N12</ns0:f>
        <ns0:v>/Users/a./Desktop/飞书考勤留存_2026-10-27/逐日原始打卡截图与汇总_2026-10-27/原始截图/2026-01-04_01_日历与上部.jpg</ns0:v>
      </ns0:c>
    </ns0:row>
    <ns0:row r="26" ht="35" customHeight="1">
      <ns0:c r="A26" s="339" t="str">
        <ns0:f>'逐日加班'!A13</ns0:f>
        <ns0:v>2026-01-05</ns0:v>
      </ns0:c>
      <ns0:c r="B26" s="339" t="str">
        <ns0:f>'逐日加班'!B13</ns0:f>
        <ns0:v>2026-01</ns0:v>
      </ns0:c>
      <ns0:c r="C26" s="339" t="str">
        <ns0:f>'逐日加班'!E13</ns0:f>
        <ns0:v>09:53</ns0:v>
      </ns0:c>
      <ns0:c r="D26" s="339" t="str">
        <ns0:f>'逐日加班'!F13</ns0:f>
        <ns0:v>20:03</ns0:v>
      </ns0:c>
      <ns0:c r="E26" s="341" t="n">
        <ns0:f>8+'逐日加班'!G13/60</ns0:f>
        <ns0:v>9.166666666666666</ns0:v>
      </ns0:c>
      <ns0:c r="F26" s="341" t="n">
        <ns0:f>MAX(0,INT(E26-8))</ns0:f>
        <ns0:v>1</ns0:v>
      </ns0:c>
      <ns0:c r="G26" s="341" t="n">
        <ns0:v>0</ns0:v>
      </ns0:c>
      <ns0:c r="H26" s="339" t="str">
        <ns0:f>'逐日加班'!N13</ns0:f>
        <ns0:v>/Users/a./Desktop/飞书考勤留存_2026-10-27/逐日原始打卡截图与汇总_2026-10-27/原始截图/2026-01-05_01_日历与上部.jpg</ns0:v>
      </ns0:c>
    </ns0:row>
    <ns0:row r="27" ht="35" customHeight="1">
      <ns0:c r="A27" s="339" t="str">
        <ns0:f>'逐日加班'!A14</ns0:f>
        <ns0:v>2026-01-07</ns0:v>
      </ns0:c>
      <ns0:c r="B27" s="339" t="str">
        <ns0:f>'逐日加班'!B14</ns0:f>
        <ns0:v>2026-01</ns0:v>
      </ns0:c>
      <ns0:c r="C27" s="339" t="str">
        <ns0:f>'逐日加班'!E14</ns0:f>
        <ns0:v>09:42</ns0:v>
      </ns0:c>
      <ns0:c r="D27" s="339" t="str">
        <ns0:f>'逐日加班'!F14</ns0:f>
        <ns0:v>19:49</ns0:v>
      </ns0:c>
      <ns0:c r="E27" s="341" t="n">
        <ns0:f>8+'逐日加班'!G14/60</ns0:f>
        <ns0:v>9.116666666666667</ns0:v>
      </ns0:c>
      <ns0:c r="F27" s="341" t="n">
        <ns0:f>MAX(0,INT(E27-8))</ns0:f>
        <ns0:v>1</ns0:v>
      </ns0:c>
      <ns0:c r="G27" s="341" t="n">
        <ns0:v>0</ns0:v>
      </ns0:c>
      <ns0:c r="H27" s="339" t="str">
        <ns0:f>'逐日加班'!N14</ns0:f>
        <ns0:v>/Users/a./Desktop/飞书考勤留存_2026-10-27/逐日原始打卡截图与汇总_2026-10-27/原始截图/2026-01-07_01_日历与上部.jpg</ns0:v>
      </ns0:c>
    </ns0:row>
    <ns0:row r="28" ht="35" customHeight="1">
      <ns0:c r="A28" s="339" t="str">
        <ns0:f>'逐日加班'!A15</ns0:f>
        <ns0:v>2026-01-08</ns0:v>
      </ns0:c>
      <ns0:c r="B28" s="339" t="str">
        <ns0:f>'逐日加班'!B15</ns0:f>
        <ns0:v>2026-01</ns0:v>
      </ns0:c>
      <ns0:c r="C28" s="339" t="str">
        <ns0:f>'逐日加班'!E15</ns0:f>
        <ns0:v>10:00</ns0:v>
      </ns0:c>
      <ns0:c r="D28" s="339" t="str">
        <ns0:f>'逐日加班'!F15</ns0:f>
        <ns0:v>22:51</ns0:v>
      </ns0:c>
      <ns0:c r="E28" s="341" t="n">
        <ns0:f>8+'逐日加班'!G15/60</ns0:f>
        <ns0:v>11.85</ns0:v>
      </ns0:c>
      <ns0:c r="F28" s="341" t="n">
        <ns0:f>MAX(0,INT(E28-8))</ns0:f>
        <ns0:v>3</ns0:v>
      </ns0:c>
      <ns0:c r="G28" s="341" t="n">
        <ns0:v>0</ns0:v>
      </ns0:c>
      <ns0:c r="H28" s="339" t="str">
        <ns0:f>'逐日加班'!N15</ns0:f>
        <ns0:v>/Users/a./Desktop/飞书考勤留存_2026-10-27/逐日原始打卡截图与汇总_2026-10-27/原始截图/2026-01-08_01_日历与上部.jpg</ns0:v>
      </ns0:c>
    </ns0:row>
    <ns0:row r="29" ht="35" customHeight="1">
      <ns0:c r="A29" s="339" t="str">
        <ns0:f>'逐日加班'!A19</ns0:f>
        <ns0:v>2026-01-13</ns0:v>
      </ns0:c>
      <ns0:c r="B29" s="339" t="str">
        <ns0:f>'逐日加班'!B19</ns0:f>
        <ns0:v>2026-01</ns0:v>
      </ns0:c>
      <ns0:c r="C29" s="339" t="str">
        <ns0:f>'逐日加班'!E19</ns0:f>
        <ns0:v>09:52</ns0:v>
      </ns0:c>
      <ns0:c r="D29" s="339" t="str">
        <ns0:f>'逐日加班'!F19</ns0:f>
        <ns0:v>23:06</ns0:v>
      </ns0:c>
      <ns0:c r="E29" s="341" t="n">
        <ns0:f>8+'逐日加班'!G19/60</ns0:f>
        <ns0:v>12.233333333333334</ns0:v>
      </ns0:c>
      <ns0:c r="F29" s="341" t="n">
        <ns0:f>MAX(0,INT(E29-8))</ns0:f>
        <ns0:v>4</ns0:v>
      </ns0:c>
      <ns0:c r="G29" s="341" t="n">
        <ns0:v>0</ns0:v>
      </ns0:c>
      <ns0:c r="H29" s="339" t="str">
        <ns0:f>'逐日加班'!N19</ns0:f>
        <ns0:v>/Users/a./Desktop/飞书考勤留存_2026-10-27/逐日原始打卡截图与汇总_2026-10-27/原始截图/2026-01-13_01_日历与上部.jpg</ns0:v>
      </ns0:c>
    </ns0:row>
    <ns0:row r="30" ht="35" customHeight="1">
      <ns0:c r="A30" s="339" t="str">
        <ns0:f>'逐日加班'!A24</ns0:f>
        <ns0:v>2026-01-21</ns0:v>
      </ns0:c>
      <ns0:c r="B30" s="339" t="str">
        <ns0:f>'逐日加班'!B24</ns0:f>
        <ns0:v>2026-01</ns0:v>
      </ns0:c>
      <ns0:c r="C30" s="339" t="str">
        <ns0:f>'逐日加班'!E24</ns0:f>
        <ns0:v>10:00</ns0:v>
      </ns0:c>
      <ns0:c r="D30" s="339" t="str">
        <ns0:f>'逐日加班'!F24</ns0:f>
        <ns0:v>20:01</ns0:v>
      </ns0:c>
      <ns0:c r="E30" s="341" t="n">
        <ns0:f>8+'逐日加班'!G24/60</ns0:f>
        <ns0:v>9.016666666666666</ns0:v>
      </ns0:c>
      <ns0:c r="F30" s="341" t="n">
        <ns0:f>MAX(0,INT(E30-8))</ns0:f>
        <ns0:v>1</ns0:v>
      </ns0:c>
      <ns0:c r="G30" s="341" t="n">
        <ns0:v>0</ns0:v>
      </ns0:c>
      <ns0:c r="H30" s="339" t="str">
        <ns0:f>'逐日加班'!N24</ns0:f>
        <ns0:v>/Users/a./Desktop/飞书考勤留存_2026-10-27/逐日原始打卡截图与汇总_2026-10-27/原始截图/2026-01-21_01_日历与上部.jpg</ns0:v>
      </ns0:c>
    </ns0:row>
    <ns0:row r="31" ht="35" customHeight="1">
      <ns0:c r="A31" s="339" t="str">
        <ns0:f>'逐日加班'!A25</ns0:f>
        <ns0:v>2026-01-22</ns0:v>
      </ns0:c>
      <ns0:c r="B31" s="339" t="str">
        <ns0:f>'逐日加班'!B25</ns0:f>
        <ns0:v>2026-01</ns0:v>
      </ns0:c>
      <ns0:c r="C31" s="339" t="str">
        <ns0:f>'逐日加班'!E25</ns0:f>
        <ns0:v>09:56</ns0:v>
      </ns0:c>
      <ns0:c r="D31" s="339" t="str">
        <ns0:f>'逐日加班'!F25</ns0:f>
        <ns0:v>20:00</ns0:v>
      </ns0:c>
      <ns0:c r="E31" s="341" t="n">
        <ns0:f>8+'逐日加班'!G25/60</ns0:f>
        <ns0:v>9.066666666666666</ns0:v>
      </ns0:c>
      <ns0:c r="F31" s="341" t="n">
        <ns0:f>MAX(0,INT(E31-8))</ns0:f>
        <ns0:v>1</ns0:v>
      </ns0:c>
      <ns0:c r="G31" s="341" t="n">
        <ns0:v>0</ns0:v>
      </ns0:c>
      <ns0:c r="H31" s="339" t="str">
        <ns0:f>'逐日加班'!N25</ns0:f>
        <ns0:v>/Users/a./Desktop/飞书考勤留存_2026-10-27/逐日原始打卡截图与汇总_2026-10-27/原始截图/2026-01-22_01_日历与上部.jpg</ns0:v>
      </ns0:c>
    </ns0:row>
    <ns0:row r="32" ht="35" customHeight="1">
      <ns0:c r="A32" s="339" t="str">
        <ns0:f>'逐日加班'!A28</ns0:f>
        <ns0:v>2026-01-27</ns0:v>
      </ns0:c>
      <ns0:c r="B32" s="339" t="str">
        <ns0:f>'逐日加班'!B28</ns0:f>
        <ns0:v>2026-01</ns0:v>
      </ns0:c>
      <ns0:c r="C32" s="339" t="str">
        <ns0:f>'逐日加班'!E28</ns0:f>
        <ns0:v>09:53</ns0:v>
      </ns0:c>
      <ns0:c r="D32" s="339" t="str">
        <ns0:f>'逐日加班'!F28</ns0:f>
        <ns0:v>20:51</ns0:v>
      </ns0:c>
      <ns0:c r="E32" s="341" t="n">
        <ns0:f>8+'逐日加班'!G28/60</ns0:f>
        <ns0:v>9.966666666666667</ns0:v>
      </ns0:c>
      <ns0:c r="F32" s="341" t="n">
        <ns0:f>MAX(0,INT(E32-8))</ns0:f>
        <ns0:v>1</ns0:v>
      </ns0:c>
      <ns0:c r="G32" s="341" t="n">
        <ns0:v>0</ns0:v>
      </ns0:c>
      <ns0:c r="H32" s="339" t="str">
        <ns0:f>'逐日加班'!N28</ns0:f>
        <ns0:v>/Users/a./Desktop/飞书考勤留存_2026-10-27/逐日原始打卡截图与汇总_2026-10-27/原始截图/2026-01-27_01_日历与上部.jpg</ns0:v>
      </ns0:c>
    </ns0:row>
    <ns0:row r="33" ht="35" customHeight="1">
      <ns0:c r="A33" s="339" t="str">
        <ns0:f>'逐日加班'!A29</ns0:f>
        <ns0:v>2026-01-28</ns0:v>
      </ns0:c>
      <ns0:c r="B33" s="339" t="str">
        <ns0:f>'逐日加班'!B29</ns0:f>
        <ns0:v>2026-01</ns0:v>
      </ns0:c>
      <ns0:c r="C33" s="339" t="str">
        <ns0:f>'逐日加班'!E29</ns0:f>
        <ns0:v>09:56</ns0:v>
      </ns0:c>
      <ns0:c r="D33" s="339" t="str">
        <ns0:f>'逐日加班'!F29</ns0:f>
        <ns0:v>20:12</ns0:v>
      </ns0:c>
      <ns0:c r="E33" s="341" t="n">
        <ns0:f>8+'逐日加班'!G29/60</ns0:f>
        <ns0:v>9.266666666666666</ns0:v>
      </ns0:c>
      <ns0:c r="F33" s="341" t="n">
        <ns0:f>MAX(0,INT(E33-8))</ns0:f>
        <ns0:v>1</ns0:v>
      </ns0:c>
      <ns0:c r="G33" s="341" t="n">
        <ns0:v>0</ns0:v>
      </ns0:c>
      <ns0:c r="H33" s="339" t="str">
        <ns0:f>'逐日加班'!N29</ns0:f>
        <ns0:v>/Users/a./Desktop/飞书考勤留存_2026-10-27/逐日原始打卡截图与汇总_2026-10-27/原始截图/2026-01-28_01_日历与上部.jpg</ns0:v>
      </ns0:c>
    </ns0:row>
    <ns0:row r="34" ht="35" customHeight="1">
      <ns0:c r="A34" s="339" t="str">
        <ns0:f>'逐日加班'!A33</ns0:f>
        <ns0:v>2026-02-03</ns0:v>
      </ns0:c>
      <ns0:c r="B34" s="339" t="str">
        <ns0:f>'逐日加班'!B33</ns0:f>
        <ns0:v>2026-02</ns0:v>
      </ns0:c>
      <ns0:c r="C34" s="339" t="str">
        <ns0:f>'逐日加班'!E33</ns0:f>
        <ns0:v>09:57</ns0:v>
      </ns0:c>
      <ns0:c r="D34" s="339" t="str">
        <ns0:f>'逐日加班'!F33</ns0:f>
        <ns0:v>21:39</ns0:v>
      </ns0:c>
      <ns0:c r="E34" s="341" t="n">
        <ns0:f>8+'逐日加班'!G33/60</ns0:f>
        <ns0:v>10.7</ns0:v>
      </ns0:c>
      <ns0:c r="F34" s="341" t="n">
        <ns0:f>MAX(0,INT(E34-8))</ns0:f>
        <ns0:v>2</ns0:v>
      </ns0:c>
      <ns0:c r="G34" s="341" t="n">
        <ns0:v>0</ns0:v>
      </ns0:c>
      <ns0:c r="H34" s="339" t="str">
        <ns0:f>'逐日加班'!N33</ns0:f>
        <ns0:v>/Users/a./Desktop/飞书考勤留存_2026-10-27/逐日原始打卡截图与汇总_2026-10-27/原始截图/2026-02-03_01_日历与上部.jpg</ns0:v>
      </ns0:c>
    </ns0:row>
    <ns0:row r="35" ht="35" customHeight="1">
      <ns0:c r="A35" s="339" t="str">
        <ns0:f>'逐日加班'!A38</ns0:f>
        <ns0:v>2026-02-09</ns0:v>
      </ns0:c>
      <ns0:c r="B35" s="339" t="str">
        <ns0:f>'逐日加班'!B38</ns0:f>
        <ns0:v>2026-02</ns0:v>
      </ns0:c>
      <ns0:c r="C35" s="339" t="str">
        <ns0:f>'逐日加班'!E38</ns0:f>
        <ns0:v>09:54</ns0:v>
      </ns0:c>
      <ns0:c r="D35" s="339" t="str">
        <ns0:f>'逐日加班'!F38</ns0:f>
        <ns0:v>20:14</ns0:v>
      </ns0:c>
      <ns0:c r="E35" s="341" t="n">
        <ns0:f>8+'逐日加班'!G38/60</ns0:f>
        <ns0:v>9.333333333333334</ns0:v>
      </ns0:c>
      <ns0:c r="F35" s="341" t="n">
        <ns0:f>MAX(0,INT(E35-8))</ns0:f>
        <ns0:v>1</ns0:v>
      </ns0:c>
      <ns0:c r="G35" s="341" t="n">
        <ns0:v>0</ns0:v>
      </ns0:c>
      <ns0:c r="H35" s="339" t="str">
        <ns0:f>'逐日加班'!N38</ns0:f>
        <ns0:v>/Users/a./Desktop/飞书考勤留存_2026-10-27/逐日原始打卡截图与汇总_2026-10-27/原始截图/2026-02-09_01_日历与上部.jpg</ns0:v>
      </ns0:c>
    </ns0:row>
    <ns0:row r="36" ht="35" customHeight="1">
      <ns0:c r="A36" s="339" t="str">
        <ns0:f>'逐日加班'!A40</ns0:f>
        <ns0:v>2026-02-11</ns0:v>
      </ns0:c>
      <ns0:c r="B36" s="339" t="str">
        <ns0:f>'逐日加班'!B40</ns0:f>
        <ns0:v>2026-02</ns0:v>
      </ns0:c>
      <ns0:c r="C36" s="339" t="str">
        <ns0:f>'逐日加班'!E40</ns0:f>
        <ns0:v>09:48</ns0:v>
      </ns0:c>
      <ns0:c r="D36" s="339" t="str">
        <ns0:f>'逐日加班'!F40</ns0:f>
        <ns0:v>20:04</ns0:v>
      </ns0:c>
      <ns0:c r="E36" s="341" t="n">
        <ns0:f>8+'逐日加班'!G40/60</ns0:f>
        <ns0:v>9.266666666666666</ns0:v>
      </ns0:c>
      <ns0:c r="F36" s="341" t="n">
        <ns0:f>MAX(0,INT(E36-8))</ns0:f>
        <ns0:v>1</ns0:v>
      </ns0:c>
      <ns0:c r="G36" s="341" t="n">
        <ns0:v>0</ns0:v>
      </ns0:c>
      <ns0:c r="H36" s="339" t="str">
        <ns0:f>'逐日加班'!N40</ns0:f>
        <ns0:v>/Users/a./Desktop/飞书考勤留存_2026-10-27/逐日原始打卡截图与汇总_2026-10-27/原始截图/2026-02-11_01_日历与上部.jpg</ns0:v>
      </ns0:c>
    </ns0:row>
    <ns0:row r="37" ht="35" customHeight="1">
      <ns0:c r="A37" s="339" t="str">
        <ns0:f>'逐日加班'!A41</ns0:f>
        <ns0:v>2026-02-13</ns0:v>
      </ns0:c>
      <ns0:c r="B37" s="339" t="str">
        <ns0:f>'逐日加班'!B41</ns0:f>
        <ns0:v>2026-02</ns0:v>
      </ns0:c>
      <ns0:c r="C37" s="339" t="str">
        <ns0:f>'逐日加班'!E41</ns0:f>
        <ns0:v>09:57</ns0:v>
      </ns0:c>
      <ns0:c r="D37" s="339" t="str">
        <ns0:f>'逐日加班'!F41</ns0:f>
        <ns0:v>20:00</ns0:v>
      </ns0:c>
      <ns0:c r="E37" s="341" t="n">
        <ns0:f>8+'逐日加班'!G41/60</ns0:f>
        <ns0:v>9.05</ns0:v>
      </ns0:c>
      <ns0:c r="F37" s="341" t="n">
        <ns0:f>MAX(0,INT(E37-8))</ns0:f>
        <ns0:v>1</ns0:v>
      </ns0:c>
      <ns0:c r="G37" s="341" t="n">
        <ns0:v>0</ns0:v>
      </ns0:c>
      <ns0:c r="H37" s="339" t="str">
        <ns0:f>'逐日加班'!N41</ns0:f>
        <ns0:v>/Users/a./Desktop/飞书考勤留存_2026-10-27/逐日原始打卡截图与汇总_2026-10-27/原始截图/2026-02-13_01_日历与上部.jpg</ns0:v>
      </ns0:c>
    </ns0:row>
    <ns0:row r="38" ht="35" customHeight="1">
      <ns0:c r="A38" s="339" t="str">
        <ns0:f>'逐日加班'!A43</ns0:f>
        <ns0:v>2026-02-24</ns0:v>
      </ns0:c>
      <ns0:c r="B38" s="339" t="str">
        <ns0:f>'逐日加班'!B43</ns0:f>
        <ns0:v>2026-02</ns0:v>
      </ns0:c>
      <ns0:c r="C38" s="339" t="str">
        <ns0:f>'逐日加班'!E43</ns0:f>
        <ns0:v>09:48</ns0:v>
      </ns0:c>
      <ns0:c r="D38" s="339" t="str">
        <ns0:f>'逐日加班'!F43</ns0:f>
        <ns0:v>20:12</ns0:v>
      </ns0:c>
      <ns0:c r="E38" s="341" t="n">
        <ns0:f>8+'逐日加班'!G43/60</ns0:f>
        <ns0:v>9.4</ns0:v>
      </ns0:c>
      <ns0:c r="F38" s="341" t="n">
        <ns0:f>MAX(0,INT(E38-8))</ns0:f>
        <ns0:v>1</ns0:v>
      </ns0:c>
      <ns0:c r="G38" s="341" t="n">
        <ns0:v>0</ns0:v>
      </ns0:c>
      <ns0:c r="H38" s="339" t="str">
        <ns0:f>'逐日加班'!N43</ns0:f>
        <ns0:v>/Users/a./Desktop/飞书考勤留存_2026-10-27/逐日原始打卡截图与汇总_2026-10-27/原始截图/2026-02-24_01_日历与上部.jpg</ns0:v>
      </ns0:c>
    </ns0:row>
    <ns0:row r="39" ht="35" customHeight="1">
      <ns0:c r="A39" s="339" t="str">
        <ns0:f>'逐日加班'!A45</ns0:f>
        <ns0:v>2026-02-26</ns0:v>
      </ns0:c>
      <ns0:c r="B39" s="339" t="str">
        <ns0:f>'逐日加班'!B45</ns0:f>
        <ns0:v>2026-02</ns0:v>
      </ns0:c>
      <ns0:c r="C39" s="339" t="str">
        <ns0:f>'逐日加班'!E45</ns0:f>
        <ns0:v>10:00</ns0:v>
      </ns0:c>
      <ns0:c r="D39" s="339" t="str">
        <ns0:f>'逐日加班'!F45</ns0:f>
        <ns0:v>20:13</ns0:v>
      </ns0:c>
      <ns0:c r="E39" s="341" t="n">
        <ns0:f>8+'逐日加班'!G45/60</ns0:f>
        <ns0:v>9.216666666666667</ns0:v>
      </ns0:c>
      <ns0:c r="F39" s="341" t="n">
        <ns0:f>MAX(0,INT(E39-8))</ns0:f>
        <ns0:v>1</ns0:v>
      </ns0:c>
      <ns0:c r="G39" s="341" t="n">
        <ns0:v>0</ns0:v>
      </ns0:c>
      <ns0:c r="H39" s="339" t="str">
        <ns0:f>'逐日加班'!N45</ns0:f>
        <ns0:v>/Users/a./Desktop/飞书考勤留存_2026-10-27/逐日原始打卡截图与汇总_2026-10-27/原始截图/2026-02-26_01_日历与上部.jpg</ns0:v>
      </ns0:c>
    </ns0:row>
    <ns0:row r="40" ht="35" customHeight="1">
      <ns0:c r="A40" s="339" t="str">
        <ns0:f>'逐日加班'!A46</ns0:f>
        <ns0:v>2026-02-27</ns0:v>
      </ns0:c>
      <ns0:c r="B40" s="339" t="str">
        <ns0:f>'逐日加班'!B46</ns0:f>
        <ns0:v>2026-02</ns0:v>
      </ns0:c>
      <ns0:c r="C40" s="339" t="str">
        <ns0:f>'逐日加班'!E46</ns0:f>
        <ns0:v>09:56</ns0:v>
      </ns0:c>
      <ns0:c r="D40" s="339" t="str">
        <ns0:f>'逐日加班'!F46</ns0:f>
        <ns0:v>20:43</ns0:v>
      </ns0:c>
      <ns0:c r="E40" s="341" t="n">
        <ns0:f>8+'逐日加班'!G46/60</ns0:f>
        <ns0:v>9.783333333333333</ns0:v>
      </ns0:c>
      <ns0:c r="F40" s="341" t="n">
        <ns0:f>MAX(0,INT(E40-8))</ns0:f>
        <ns0:v>1</ns0:v>
      </ns0:c>
      <ns0:c r="G40" s="341" t="n">
        <ns0:v>0</ns0:v>
      </ns0:c>
      <ns0:c r="H40" s="339" t="str">
        <ns0:f>'逐日加班'!N46</ns0:f>
        <ns0:v>/Users/a./Desktop/飞书考勤留存_2026-10-27/逐日原始打卡截图与汇总_2026-10-27/原始截图/2026-02-27_01_日历与上部.jpg</ns0:v>
      </ns0:c>
    </ns0:row>
    <ns0:row r="41" ht="35" customHeight="1">
      <ns0:c r="A41" s="339" t="str">
        <ns0:f>'逐日加班'!A47</ns0:f>
        <ns0:v>2026-02-28</ns0:v>
      </ns0:c>
      <ns0:c r="B41" s="339" t="str">
        <ns0:f>'逐日加班'!B47</ns0:f>
        <ns0:v>2026-02</ns0:v>
      </ns0:c>
      <ns0:c r="C41" s="339" t="str">
        <ns0:f>'逐日加班'!E47</ns0:f>
        <ns0:v>09:55</ns0:v>
      </ns0:c>
      <ns0:c r="D41" s="339" t="str">
        <ns0:f>'逐日加班'!F47</ns0:f>
        <ns0:v>20:20</ns0:v>
      </ns0:c>
      <ns0:c r="E41" s="341" t="n">
        <ns0:f>8+'逐日加班'!G47/60</ns0:f>
        <ns0:v>9.416666666666666</ns0:v>
      </ns0:c>
      <ns0:c r="F41" s="341" t="n">
        <ns0:f>MAX(0,INT(E41-8))</ns0:f>
        <ns0:v>1</ns0:v>
      </ns0:c>
      <ns0:c r="G41" s="341" t="n">
        <ns0:v>0</ns0:v>
      </ns0:c>
      <ns0:c r="H41" s="339" t="str">
        <ns0:f>'逐日加班'!N47</ns0:f>
        <ns0:v>/Users/a./Desktop/飞书考勤留存_2026-10-27/逐日原始打卡截图与汇总_2026-10-27/原始截图/2026-02-28_01_日历与上部.jpg</ns0:v>
      </ns0:c>
    </ns0:row>
    <ns0:row r="42" ht="35" customHeight="1">
      <ns0:c r="A42" s="339" t="str">
        <ns0:f>'逐日加班'!A58</ns0:f>
        <ns0:v>2026-03-17</ns0:v>
      </ns0:c>
      <ns0:c r="B42" s="339" t="str">
        <ns0:f>'逐日加班'!B58</ns0:f>
        <ns0:v>2026-03</ns0:v>
      </ns0:c>
      <ns0:c r="C42" s="339" t="str">
        <ns0:f>'逐日加班'!E58</ns0:f>
        <ns0:v>09:58</ns0:v>
      </ns0:c>
      <ns0:c r="D42" s="339" t="str">
        <ns0:f>'逐日加班'!F58</ns0:f>
        <ns0:v>20:24</ns0:v>
      </ns0:c>
      <ns0:c r="E42" s="341" t="n">
        <ns0:f>8+'逐日加班'!G58/60</ns0:f>
        <ns0:v>9.433333333333334</ns0:v>
      </ns0:c>
      <ns0:c r="F42" s="341" t="n">
        <ns0:f>MAX(0,INT(E42-8))</ns0:f>
        <ns0:v>1</ns0:v>
      </ns0:c>
      <ns0:c r="G42" s="341" t="n">
        <ns0:v>0</ns0:v>
      </ns0:c>
      <ns0:c r="H42" s="339" t="str">
        <ns0:f>'逐日加班'!N58</ns0:f>
        <ns0:v>/Users/a./Desktop/飞书考勤留存_2026-10-27/逐日原始打卡截图与汇总_2026-10-27/原始截图/2026-03-17_01_日历与上部.jpg</ns0:v>
      </ns0:c>
    </ns0:row>
    <ns0:row r="43" ht="35" customHeight="1">
      <ns0:c r="A43" s="339" t="str">
        <ns0:f>'逐日加班'!A63</ns0:f>
        <ns0:v>2026-03-23</ns0:v>
      </ns0:c>
      <ns0:c r="B43" s="339" t="str">
        <ns0:f>'逐日加班'!B63</ns0:f>
        <ns0:v>2026-03</ns0:v>
      </ns0:c>
      <ns0:c r="C43" s="339" t="str">
        <ns0:f>'逐日加班'!E63</ns0:f>
        <ns0:v>09:58</ns0:v>
      </ns0:c>
      <ns0:c r="D43" s="339" t="str">
        <ns0:f>'逐日加班'!F63</ns0:f>
        <ns0:v>20:11</ns0:v>
      </ns0:c>
      <ns0:c r="E43" s="341" t="n">
        <ns0:f>8+'逐日加班'!G63/60</ns0:f>
        <ns0:v>9.216666666666667</ns0:v>
      </ns0:c>
      <ns0:c r="F43" s="341" t="n">
        <ns0:f>MAX(0,INT(E43-8))</ns0:f>
        <ns0:v>1</ns0:v>
      </ns0:c>
      <ns0:c r="G43" s="341" t="n">
        <ns0:v>0</ns0:v>
      </ns0:c>
      <ns0:c r="H43" s="339" t="str">
        <ns0:f>'逐日加班'!N63</ns0:f>
        <ns0:v>/Users/a./Desktop/飞书考勤留存_2026-10-27/逐日原始打卡截图与汇总_2026-10-27/原始截图/2026-03-23_01_日历与上部.jpg</ns0:v>
      </ns0:c>
    </ns0:row>
    <ns0:row r="44" ht="35" customHeight="1">
      <ns0:c r="A44" s="339" t="str">
        <ns0:f>'逐日加班'!A68</ns0:f>
        <ns0:v>2026-03-30</ns0:v>
      </ns0:c>
      <ns0:c r="B44" s="339" t="str">
        <ns0:f>'逐日加班'!B68</ns0:f>
        <ns0:v>2026-03</ns0:v>
      </ns0:c>
      <ns0:c r="C44" s="339" t="str">
        <ns0:f>'逐日加班'!E68</ns0:f>
        <ns0:v>09:53</ns0:v>
      </ns0:c>
      <ns0:c r="D44" s="339" t="str">
        <ns0:f>'逐日加班'!F68</ns0:f>
        <ns0:v>20:00</ns0:v>
      </ns0:c>
      <ns0:c r="E44" s="341" t="n">
        <ns0:f>8+'逐日加班'!G68/60</ns0:f>
        <ns0:v>9.116666666666667</ns0:v>
      </ns0:c>
      <ns0:c r="F44" s="341" t="n">
        <ns0:f>MAX(0,INT(E44-8))</ns0:f>
        <ns0:v>1</ns0:v>
      </ns0:c>
      <ns0:c r="G44" s="341" t="n">
        <ns0:v>0</ns0:v>
      </ns0:c>
      <ns0:c r="H44" s="339" t="str">
        <ns0:f>'逐日加班'!N68</ns0:f>
        <ns0:v>/Users/a./Desktop/飞书考勤留存_2026-10-27/逐日原始打卡截图与汇总_2026-10-27/原始截图/2026-03-30_01_日历与上部.jpg</ns0:v>
      </ns0:c>
    </ns0:row>
    <ns0:row r="45" ht="35" customHeight="1">
      <ns0:c r="A45" s="339" t="str">
        <ns0:f>'逐日加班'!A69</ns0:f>
        <ns0:v>2026-03-31</ns0:v>
      </ns0:c>
      <ns0:c r="B45" s="339" t="str">
        <ns0:f>'逐日加班'!B69</ns0:f>
        <ns0:v>2026-03</ns0:v>
      </ns0:c>
      <ns0:c r="C45" s="339" t="str">
        <ns0:f>'逐日加班'!E69</ns0:f>
        <ns0:v>09:55</ns0:v>
      </ns0:c>
      <ns0:c r="D45" s="339" t="str">
        <ns0:f>'逐日加班'!F69</ns0:f>
        <ns0:v>20:13</ns0:v>
      </ns0:c>
      <ns0:c r="E45" s="341" t="n">
        <ns0:f>8+'逐日加班'!G69/60</ns0:f>
        <ns0:v>9.3</ns0:v>
      </ns0:c>
      <ns0:c r="F45" s="341" t="n">
        <ns0:f>MAX(0,INT(E45-8))</ns0:f>
        <ns0:v>1</ns0:v>
      </ns0:c>
      <ns0:c r="G45" s="341" t="n">
        <ns0:v>0</ns0:v>
      </ns0:c>
      <ns0:c r="H45" s="339" t="str">
        <ns0:f>'逐日加班'!N69</ns0:f>
        <ns0:v>/Users/a./Desktop/飞书考勤留存_2026-10-27/逐日原始打卡截图与汇总_2026-10-27/原始截图/2026-03-31_01_日历与上部.jpg</ns0:v>
      </ns0:c>
    </ns0:row>
    <ns0:row r="46" ht="35" customHeight="1">
      <ns0:c r="A46" s="339" t="str">
        <ns0:f>'逐日加班'!A70</ns0:f>
        <ns0:v>2026-04-01</ns0:v>
      </ns0:c>
      <ns0:c r="B46" s="339" t="str">
        <ns0:f>'逐日加班'!B70</ns0:f>
        <ns0:v>2026-04</ns0:v>
      </ns0:c>
      <ns0:c r="C46" s="339" t="str">
        <ns0:f>'逐日加班'!E70</ns0:f>
        <ns0:v>09:56</ns0:v>
      </ns0:c>
      <ns0:c r="D46" s="339" t="str">
        <ns0:f>'逐日加班'!F70</ns0:f>
        <ns0:v>20:18</ns0:v>
      </ns0:c>
      <ns0:c r="E46" s="341" t="n">
        <ns0:f>8+'逐日加班'!G70/60</ns0:f>
        <ns0:v>9.366666666666667</ns0:v>
      </ns0:c>
      <ns0:c r="F46" s="341" t="n">
        <ns0:f>MAX(0,INT(E46-8))</ns0:f>
        <ns0:v>1</ns0:v>
      </ns0:c>
      <ns0:c r="G46" s="341" t="n">
        <ns0:f>'逐日加班'!R70</ns0:f>
        <ns0:v>1</ns0:v>
      </ns0:c>
      <ns0:c r="H46" s="339" t="str">
        <ns0:f>'逐日加班'!N70</ns0:f>
        <ns0:v>/Users/a./Desktop/飞书考勤留存_2026-10-27/逐日原始打卡截图与汇总_2026-10-27/原始截图/2026-04-01_01_日历与上部.jpg</ns0:v>
      </ns0:c>
    </ns0:row>
    <ns0:row r="47" ht="35" customHeight="1">
      <ns0:c r="A47" s="339" t="str">
        <ns0:f>'逐日加班'!A71</ns0:f>
        <ns0:v>2026-04-02</ns0:v>
      </ns0:c>
      <ns0:c r="B47" s="339" t="str">
        <ns0:f>'逐日加班'!B71</ns0:f>
        <ns0:v>2026-04</ns0:v>
      </ns0:c>
      <ns0:c r="C47" s="339" t="str">
        <ns0:f>'逐日加班'!E71</ns0:f>
        <ns0:v>09:59</ns0:v>
      </ns0:c>
      <ns0:c r="D47" s="339" t="str">
        <ns0:f>'逐日加班'!F71</ns0:f>
        <ns0:v>21:13</ns0:v>
      </ns0:c>
      <ns0:c r="E47" s="341" t="n">
        <ns0:f>8+'逐日加班'!G71/60</ns0:f>
        <ns0:v>10.233333333333334</ns0:v>
      </ns0:c>
      <ns0:c r="F47" s="341" t="n">
        <ns0:f>MAX(0,INT(E47-8))</ns0:f>
        <ns0:v>2</ns0:v>
      </ns0:c>
      <ns0:c r="G47" s="341" t="n">
        <ns0:f>'逐日加班'!R71</ns0:f>
        <ns0:v>2</ns0:v>
      </ns0:c>
      <ns0:c r="H47" s="339" t="str">
        <ns0:f>'逐日加班'!N71</ns0:f>
        <ns0:v>/Users/a./Desktop/飞书考勤留存_2026-10-27/逐日原始打卡截图与汇总_2026-10-27/原始截图/2026-04-02_01_日历与上部.jpg</ns0:v>
      </ns0:c>
    </ns0:row>
    <ns0:row r="48" ht="35" customHeight="1">
      <ns0:c r="A48" s="339" t="str">
        <ns0:f>'逐日加班'!A73</ns0:f>
        <ns0:v>2026-04-07</ns0:v>
      </ns0:c>
      <ns0:c r="B48" s="339" t="str">
        <ns0:f>'逐日加班'!B73</ns0:f>
        <ns0:v>2026-04</ns0:v>
      </ns0:c>
      <ns0:c r="C48" s="339" t="str">
        <ns0:f>'逐日加班'!E73</ns0:f>
        <ns0:v>09:59</ns0:v>
      </ns0:c>
      <ns0:c r="D48" s="339" t="str">
        <ns0:f>'逐日加班'!F73</ns0:f>
        <ns0:v>22:01</ns0:v>
      </ns0:c>
      <ns0:c r="E48" s="341" t="n">
        <ns0:f>8+'逐日加班'!G73/60</ns0:f>
        <ns0:v>11.033333333333333</ns0:v>
      </ns0:c>
      <ns0:c r="F48" s="341" t="n">
        <ns0:f>MAX(0,INT(E48-8))</ns0:f>
        <ns0:v>3</ns0:v>
      </ns0:c>
      <ns0:c r="G48" s="341" t="n">
        <ns0:f>'逐日加班'!R73</ns0:f>
        <ns0:v>3</ns0:v>
      </ns0:c>
      <ns0:c r="H48" s="339" t="str">
        <ns0:f>'逐日加班'!N73</ns0:f>
        <ns0:v>/Users/a./Desktop/飞书考勤留存_2026-10-27/逐日原始打卡截图与汇总_2026-10-27/原始截图/2026-04-07_01_日历与上部.jpg</ns0:v>
      </ns0:c>
    </ns0:row>
    <ns0:row r="49" ht="35" customHeight="1">
      <ns0:c r="A49" s="339" t="str">
        <ns0:f>'逐日加班'!A74</ns0:f>
        <ns0:v>2026-04-09</ns0:v>
      </ns0:c>
      <ns0:c r="B49" s="339" t="str">
        <ns0:f>'逐日加班'!B74</ns0:f>
        <ns0:v>2026-04</ns0:v>
      </ns0:c>
      <ns0:c r="C49" s="339" t="str">
        <ns0:f>'逐日加班'!E74</ns0:f>
        <ns0:v>09:55</ns0:v>
      </ns0:c>
      <ns0:c r="D49" s="339" t="str">
        <ns0:f>'逐日加班'!F74</ns0:f>
        <ns0:v>20:28</ns0:v>
      </ns0:c>
      <ns0:c r="E49" s="341" t="n">
        <ns0:f>8+'逐日加班'!G74/60</ns0:f>
        <ns0:v>9.55</ns0:v>
      </ns0:c>
      <ns0:c r="F49" s="341" t="n">
        <ns0:f>MAX(0,INT(E49-8))</ns0:f>
        <ns0:v>1</ns0:v>
      </ns0:c>
      <ns0:c r="G49" s="341" t="n">
        <ns0:f>'逐日加班'!R74</ns0:f>
        <ns0:v>1</ns0:v>
      </ns0:c>
      <ns0:c r="H49" s="339" t="str">
        <ns0:f>'逐日加班'!N74</ns0:f>
        <ns0:v>/Users/a./Desktop/飞书考勤留存_2026-10-27/逐日原始打卡截图与汇总_2026-10-27/原始截图/2026-04-09_01_日历与上部.jpg</ns0:v>
      </ns0:c>
    </ns0:row>
    <ns0:row r="50" ht="35" customHeight="1">
      <ns0:c r="A50" s="339" t="str">
        <ns0:f>'逐日加班'!A76</ns0:f>
        <ns0:v>2026-04-13</ns0:v>
      </ns0:c>
      <ns0:c r="B50" s="339" t="str">
        <ns0:f>'逐日加班'!B76</ns0:f>
        <ns0:v>2026-04</ns0:v>
      </ns0:c>
      <ns0:c r="C50" s="339" t="str">
        <ns0:f>'逐日加班'!E76</ns0:f>
        <ns0:v>09:43</ns0:v>
      </ns0:c>
      <ns0:c r="D50" s="339" t="str">
        <ns0:f>'逐日加班'!F76</ns0:f>
        <ns0:v>21:50</ns0:v>
      </ns0:c>
      <ns0:c r="E50" s="341" t="n">
        <ns0:f>8+'逐日加班'!G76/60</ns0:f>
        <ns0:v>11.116666666666667</ns0:v>
      </ns0:c>
      <ns0:c r="F50" s="341" t="n">
        <ns0:f>MAX(0,INT(E50-8))</ns0:f>
        <ns0:v>3</ns0:v>
      </ns0:c>
      <ns0:c r="G50" s="341" t="n">
        <ns0:f>'逐日加班'!R76</ns0:f>
        <ns0:v>3</ns0:v>
      </ns0:c>
      <ns0:c r="H50" s="339" t="str">
        <ns0:f>'逐日加班'!N76</ns0:f>
        <ns0:v>/Users/a./Desktop/飞书考勤留存_2026-10-27/逐日原始打卡截图与汇总_2026-10-27/原始截图/2026-04-13_01_日历与上部.jpg</ns0:v>
      </ns0:c>
    </ns0:row>
    <ns0:row r="51" ht="35" customHeight="1">
      <ns0:c r="A51" s="339" t="str">
        <ns0:f>'逐日加班'!A77</ns0:f>
        <ns0:v>2026-04-14</ns0:v>
      </ns0:c>
      <ns0:c r="B51" s="339" t="str">
        <ns0:f>'逐日加班'!B77</ns0:f>
        <ns0:v>2026-04</ns0:v>
      </ns0:c>
      <ns0:c r="C51" s="339" t="str">
        <ns0:f>'逐日加班'!E77</ns0:f>
        <ns0:v>09:59</ns0:v>
      </ns0:c>
      <ns0:c r="D51" s="339" t="str">
        <ns0:f>'逐日加班'!F77</ns0:f>
        <ns0:v>22:02</ns0:v>
      </ns0:c>
      <ns0:c r="E51" s="341" t="n">
        <ns0:f>8+'逐日加班'!G77/60</ns0:f>
        <ns0:v>11.05</ns0:v>
      </ns0:c>
      <ns0:c r="F51" s="341" t="n">
        <ns0:f>MAX(0,INT(E51-8))</ns0:f>
        <ns0:v>3</ns0:v>
      </ns0:c>
      <ns0:c r="G51" s="341" t="n">
        <ns0:f>'逐日加班'!R77</ns0:f>
        <ns0:v>3</ns0:v>
      </ns0:c>
      <ns0:c r="H51" s="339" t="str">
        <ns0:f>'逐日加班'!N77</ns0:f>
        <ns0:v>/Users/a./Desktop/飞书考勤留存_2026-10-27/逐日原始打卡截图与汇总_2026-10-27/原始截图/2026-04-14_01_日历与上部.jpg</ns0:v>
      </ns0:c>
    </ns0:row>
    <ns0:row r="52" ht="35" customHeight="1">
      <ns0:c r="A52" s="339" t="str">
        <ns0:f>'逐日加班'!A78</ns0:f>
        <ns0:v>2026-04-15</ns0:v>
      </ns0:c>
      <ns0:c r="B52" s="339" t="str">
        <ns0:f>'逐日加班'!B78</ns0:f>
        <ns0:v>2026-04</ns0:v>
      </ns0:c>
      <ns0:c r="C52" s="339" t="str">
        <ns0:f>'逐日加班'!E78</ns0:f>
        <ns0:v>09:52</ns0:v>
      </ns0:c>
      <ns0:c r="D52" s="339" t="str">
        <ns0:f>'逐日加班'!F78</ns0:f>
        <ns0:v>20:18</ns0:v>
      </ns0:c>
      <ns0:c r="E52" s="341" t="n">
        <ns0:f>8+'逐日加班'!G78/60</ns0:f>
        <ns0:v>9.433333333333334</ns0:v>
      </ns0:c>
      <ns0:c r="F52" s="341" t="n">
        <ns0:f>MAX(0,INT(E52-8))</ns0:f>
        <ns0:v>1</ns0:v>
      </ns0:c>
      <ns0:c r="G52" s="341" t="n">
        <ns0:f>'逐日加班'!R78</ns0:f>
        <ns0:v>1</ns0:v>
      </ns0:c>
      <ns0:c r="H52" s="339" t="str">
        <ns0:f>'逐日加班'!N78</ns0:f>
        <ns0:v>/Users/a./Desktop/飞书考勤留存_2026-10-27/逐日原始打卡截图与汇总_2026-10-27/原始截图/2026-04-15_01_日历与上部.jpg</ns0:v>
      </ns0:c>
    </ns0:row>
    <ns0:row r="53" ht="35" customHeight="1">
      <ns0:c r="A53" s="339" t="str">
        <ns0:f>'逐日加班'!A79</ns0:f>
        <ns0:v>2026-04-16</ns0:v>
      </ns0:c>
      <ns0:c r="B53" s="339" t="str">
        <ns0:f>'逐日加班'!B79</ns0:f>
        <ns0:v>2026-04</ns0:v>
      </ns0:c>
      <ns0:c r="C53" s="339" t="str">
        <ns0:f>'逐日加班'!E79</ns0:f>
        <ns0:v>09:58</ns0:v>
      </ns0:c>
      <ns0:c r="D53" s="339" t="str">
        <ns0:f>'逐日加班'!F79</ns0:f>
        <ns0:v>20:00</ns0:v>
      </ns0:c>
      <ns0:c r="E53" s="341" t="n">
        <ns0:f>8+'逐日加班'!G79/60</ns0:f>
        <ns0:v>9.033333333333333</ns0:v>
      </ns0:c>
      <ns0:c r="F53" s="341" t="n">
        <ns0:f>MAX(0,INT(E53-8))</ns0:f>
        <ns0:v>1</ns0:v>
      </ns0:c>
      <ns0:c r="G53" s="341" t="n">
        <ns0:f>'逐日加班'!R79</ns0:f>
        <ns0:v>1</ns0:v>
      </ns0:c>
      <ns0:c r="H53" s="339" t="str">
        <ns0:f>'逐日加班'!N79</ns0:f>
        <ns0:v>/Users/a./Desktop/飞书考勤留存_2026-10-27/逐日原始打卡截图与汇总_2026-10-27/原始截图/2026-04-16_01_日历与上部.jpg</ns0:v>
      </ns0:c>
    </ns0:row>
    <ns0:row r="54" ht="35" customHeight="1">
      <ns0:c r="A54" s="339" t="str">
        <ns0:f>'逐日加班'!A82</ns0:f>
        <ns0:v>2026-04-20</ns0:v>
      </ns0:c>
      <ns0:c r="B54" s="339" t="str">
        <ns0:f>'逐日加班'!B82</ns0:f>
        <ns0:v>2026-04</ns0:v>
      </ns0:c>
      <ns0:c r="C54" s="339" t="str">
        <ns0:f>'逐日加班'!E82</ns0:f>
        <ns0:v>09:49</ns0:v>
      </ns0:c>
      <ns0:c r="D54" s="339" t="str">
        <ns0:f>'逐日加班'!F82</ns0:f>
        <ns0:v>19:51</ns0:v>
      </ns0:c>
      <ns0:c r="E54" s="341" t="n">
        <ns0:f>8+'逐日加班'!G82/60</ns0:f>
        <ns0:v>9.033333333333333</ns0:v>
      </ns0:c>
      <ns0:c r="F54" s="341" t="n">
        <ns0:f>MAX(0,INT(E54-8))</ns0:f>
        <ns0:v>1</ns0:v>
      </ns0:c>
      <ns0:c r="G54" s="341" t="n">
        <ns0:f>'逐日加班'!R82</ns0:f>
        <ns0:v>1</ns0:v>
      </ns0:c>
      <ns0:c r="H54" s="339" t="str">
        <ns0:f>'逐日加班'!N82</ns0:f>
        <ns0:v>/Users/a./Desktop/飞书考勤留存_2026-10-27/逐日原始打卡截图与汇总_2026-10-27/原始截图/2026-04-20_01_日历与上部.jpg</ns0:v>
      </ns0:c>
    </ns0:row>
    <ns0:row r="55" ht="35" customHeight="1">
      <ns0:c r="A55" s="339" t="str">
        <ns0:f>'逐日加班'!A83</ns0:f>
        <ns0:v>2026-04-21</ns0:v>
      </ns0:c>
      <ns0:c r="B55" s="339" t="str">
        <ns0:f>'逐日加班'!B83</ns0:f>
        <ns0:v>2026-04</ns0:v>
      </ns0:c>
      <ns0:c r="C55" s="339" t="str">
        <ns0:f>'逐日加班'!E83</ns0:f>
        <ns0:v>10:00</ns0:v>
      </ns0:c>
      <ns0:c r="D55" s="339" t="str">
        <ns0:f>'逐日加班'!F83</ns0:f>
        <ns0:v>20:14</ns0:v>
      </ns0:c>
      <ns0:c r="E55" s="341" t="n">
        <ns0:f>8+'逐日加班'!G83/60</ns0:f>
        <ns0:v>9.233333333333334</ns0:v>
      </ns0:c>
      <ns0:c r="F55" s="341" t="n">
        <ns0:f>MAX(0,INT(E55-8))</ns0:f>
        <ns0:v>1</ns0:v>
      </ns0:c>
      <ns0:c r="G55" s="341" t="n">
        <ns0:f>'逐日加班'!R83</ns0:f>
        <ns0:v>1</ns0:v>
      </ns0:c>
      <ns0:c r="H55" s="339" t="str">
        <ns0:f>'逐日加班'!N83</ns0:f>
        <ns0:v>/Users/a./Desktop/飞书考勤留存_2026-10-27/逐日原始打卡截图与汇总_2026-10-27/原始截图/2026-04-21_01_日历与上部.jpg</ns0:v>
      </ns0:c>
    </ns0:row>
    <ns0:row r="56" ht="35" customHeight="1">
      <ns0:c r="A56" s="339" t="str">
        <ns0:f>'逐日加班'!A84</ns0:f>
        <ns0:v>2026-04-22</ns0:v>
      </ns0:c>
      <ns0:c r="B56" s="339" t="str">
        <ns0:f>'逐日加班'!B84</ns0:f>
        <ns0:v>2026-04</ns0:v>
      </ns0:c>
      <ns0:c r="C56" s="339" t="str">
        <ns0:f>'逐日加班'!E84</ns0:f>
        <ns0:v>09:56</ns0:v>
      </ns0:c>
      <ns0:c r="D56" s="339" t="str">
        <ns0:f>'逐日加班'!F84</ns0:f>
        <ns0:v>20:59</ns0:v>
      </ns0:c>
      <ns0:c r="E56" s="341" t="n">
        <ns0:f>8+'逐日加班'!G84/60</ns0:f>
        <ns0:v>10.05</ns0:v>
      </ns0:c>
      <ns0:c r="F56" s="341" t="n">
        <ns0:f>MAX(0,INT(E56-8))</ns0:f>
        <ns0:v>2</ns0:v>
      </ns0:c>
      <ns0:c r="G56" s="341" t="n">
        <ns0:f>'逐日加班'!R84</ns0:f>
        <ns0:v>2</ns0:v>
      </ns0:c>
      <ns0:c r="H56" s="339" t="str">
        <ns0:f>'逐日加班'!N84</ns0:f>
        <ns0:v>/Users/a./Desktop/飞书考勤留存_2026-10-27/逐日原始打卡截图与汇总_2026-10-27/原始截图/2026-04-22_01_日历与上部.jpg</ns0:v>
      </ns0:c>
    </ns0:row>
    <ns0:row r="57" ht="35" customHeight="1">
      <ns0:c r="A57" s="339" t="str">
        <ns0:f>'逐日加班'!A85</ns0:f>
        <ns0:v>2026-04-23</ns0:v>
      </ns0:c>
      <ns0:c r="B57" s="339" t="str">
        <ns0:f>'逐日加班'!B85</ns0:f>
        <ns0:v>2026-04</ns0:v>
      </ns0:c>
      <ns0:c r="C57" s="339" t="str">
        <ns0:f>'逐日加班'!E85</ns0:f>
        <ns0:v>09:57</ns0:v>
      </ns0:c>
      <ns0:c r="D57" s="339" t="str">
        <ns0:f>'逐日加班'!F85</ns0:f>
        <ns0:v>20:58</ns0:v>
      </ns0:c>
      <ns0:c r="E57" s="341" t="n">
        <ns0:f>8+'逐日加班'!G85/60</ns0:f>
        <ns0:v>10.016666666666666</ns0:v>
      </ns0:c>
      <ns0:c r="F57" s="341" t="n">
        <ns0:f>MAX(0,INT(E57-8))</ns0:f>
        <ns0:v>2</ns0:v>
      </ns0:c>
      <ns0:c r="G57" s="341" t="n">
        <ns0:f>'逐日加班'!R85</ns0:f>
        <ns0:v>2</ns0:v>
      </ns0:c>
      <ns0:c r="H57" s="339" t="str">
        <ns0:f>'逐日加班'!N85</ns0:f>
        <ns0:v>/Users/a./Desktop/飞书考勤留存_2026-10-27/逐日原始打卡截图与汇总_2026-10-27/原始截图/2026-04-23_01_日历与上部.jpg</ns0:v>
      </ns0:c>
    </ns0:row>
    <ns0:row r="58" ht="35" customHeight="1">
      <ns0:c r="A58" s="339" t="str">
        <ns0:f>'逐日加班'!A87</ns0:f>
        <ns0:v>2026-04-27</ns0:v>
      </ns0:c>
      <ns0:c r="B58" s="339" t="str">
        <ns0:f>'逐日加班'!B87</ns0:f>
        <ns0:v>2026-04</ns0:v>
      </ns0:c>
      <ns0:c r="C58" s="339" t="str">
        <ns0:f>'逐日加班'!E87</ns0:f>
        <ns0:v>09:49</ns0:v>
      </ns0:c>
      <ns0:c r="D58" s="339" t="str">
        <ns0:f>'逐日加班'!F87</ns0:f>
        <ns0:v>20:00</ns0:v>
      </ns0:c>
      <ns0:c r="E58" s="341" t="n">
        <ns0:f>8+'逐日加班'!G87/60</ns0:f>
        <ns0:v>9.183333333333334</ns0:v>
      </ns0:c>
      <ns0:c r="F58" s="341" t="n">
        <ns0:f>MAX(0,INT(E58-8))</ns0:f>
        <ns0:v>1</ns0:v>
      </ns0:c>
      <ns0:c r="G58" s="341" t="n">
        <ns0:f>'逐日加班'!R87</ns0:f>
        <ns0:v>1</ns0:v>
      </ns0:c>
      <ns0:c r="H58" s="339" t="str">
        <ns0:f>'逐日加班'!N87</ns0:f>
        <ns0:v>/Users/a./Desktop/飞书考勤留存_2026-10-27/逐日原始打卡截图与汇总_2026-10-27/原始截图/2026-04-27_01_日历与上部.jpg</ns0:v>
      </ns0:c>
    </ns0:row>
    <ns0:row r="59" ht="35" customHeight="1">
      <ns0:c r="A59" s="339" t="str">
        <ns0:f>'逐日加班'!A88</ns0:f>
        <ns0:v>2026-04-28</ns0:v>
      </ns0:c>
      <ns0:c r="B59" s="339" t="str">
        <ns0:f>'逐日加班'!B88</ns0:f>
        <ns0:v>2026-04</ns0:v>
      </ns0:c>
      <ns0:c r="C59" s="339" t="str">
        <ns0:f>'逐日加班'!E88</ns0:f>
        <ns0:v>09:50</ns0:v>
      </ns0:c>
      <ns0:c r="D59" s="339" t="str">
        <ns0:f>'逐日加班'!F88</ns0:f>
        <ns0:v>19:53</ns0:v>
      </ns0:c>
      <ns0:c r="E59" s="341" t="n">
        <ns0:f>8+'逐日加班'!G88/60</ns0:f>
        <ns0:v>9.05</ns0:v>
      </ns0:c>
      <ns0:c r="F59" s="341" t="n">
        <ns0:f>MAX(0,INT(E59-8))</ns0:f>
        <ns0:v>1</ns0:v>
      </ns0:c>
      <ns0:c r="G59" s="341" t="n">
        <ns0:f>'逐日加班'!R88</ns0:f>
        <ns0:v>1</ns0:v>
      </ns0:c>
      <ns0:c r="H59" s="339" t="str">
        <ns0:f>'逐日加班'!N88</ns0:f>
        <ns0:v>/Users/a./Desktop/飞书考勤留存_2026-10-27/逐日原始打卡截图与汇总_2026-10-27/原始截图/2026-04-28_01_日历与上部.jpg</ns0:v>
      </ns0:c>
    </ns0:row>
    <ns0:row r="60" ht="35" customHeight="1">
      <ns0:c r="A60" s="339" t="str">
        <ns0:f>'逐日加班'!A89</ns0:f>
        <ns0:v>2026-04-29</ns0:v>
      </ns0:c>
      <ns0:c r="B60" s="339" t="str">
        <ns0:f>'逐日加班'!B89</ns0:f>
        <ns0:v>2026-04</ns0:v>
      </ns0:c>
      <ns0:c r="C60" s="339" t="str">
        <ns0:f>'逐日加班'!E89</ns0:f>
        <ns0:v>09:57</ns0:v>
      </ns0:c>
      <ns0:c r="D60" s="339" t="str">
        <ns0:f>'逐日加班'!F89</ns0:f>
        <ns0:v>19:59</ns0:v>
      </ns0:c>
      <ns0:c r="E60" s="341" t="n">
        <ns0:f>8+'逐日加班'!G89/60</ns0:f>
        <ns0:v>9.033333333333333</ns0:v>
      </ns0:c>
      <ns0:c r="F60" s="341" t="n">
        <ns0:f>MAX(0,INT(E60-8))</ns0:f>
        <ns0:v>1</ns0:v>
      </ns0:c>
      <ns0:c r="G60" s="341" t="n">
        <ns0:f>'逐日加班'!R89</ns0:f>
        <ns0:v>1</ns0:v>
      </ns0:c>
      <ns0:c r="H60" s="339" t="str">
        <ns0:f>'逐日加班'!N89</ns0:f>
        <ns0:v>/Users/a./Desktop/飞书考勤留存_2026-10-27/逐日原始打卡截图与汇总_2026-10-27/原始截图/2026-04-29_01_日历与上部.jpg</ns0:v>
      </ns0:c>
    </ns0:row>
    <ns0:row r="61" ht="35" customHeight="1">
      <ns0:c r="A61" s="339" t="str">
        <ns0:f>'逐日加班'!A90</ns0:f>
        <ns0:v>2026-05-06</ns0:v>
      </ns0:c>
      <ns0:c r="B61" s="339" t="str">
        <ns0:f>'逐日加班'!B90</ns0:f>
        <ns0:v>2026-05</ns0:v>
      </ns0:c>
      <ns0:c r="C61" s="339" t="str">
        <ns0:f>'逐日加班'!E90</ns0:f>
        <ns0:v>09:52</ns0:v>
      </ns0:c>
      <ns0:c r="D61" s="339" t="str">
        <ns0:f>'逐日加班'!F90</ns0:f>
        <ns0:v>20:04</ns0:v>
      </ns0:c>
      <ns0:c r="E61" s="341" t="n">
        <ns0:f>8+'逐日加班'!G90/60</ns0:f>
        <ns0:v>9.2</ns0:v>
      </ns0:c>
      <ns0:c r="F61" s="341" t="n">
        <ns0:f>MAX(0,INT(E61-8))</ns0:f>
        <ns0:v>1</ns0:v>
      </ns0:c>
      <ns0:c r="G61" s="341" t="n">
        <ns0:f>'逐日加班'!R90</ns0:f>
        <ns0:v>1</ns0:v>
      </ns0:c>
      <ns0:c r="H61" s="339" t="str">
        <ns0:f>'逐日加班'!N90</ns0:f>
        <ns0:v>/Users/a./Desktop/飞书考勤留存_2026-10-27/逐日原始打卡截图与汇总_2026-10-27/原始截图/2026-05-06_01_日历与上部.jpg</ns0:v>
      </ns0:c>
    </ns0:row>
    <ns0:row r="62" ht="35" customHeight="1">
      <ns0:c r="A62" s="339" t="str">
        <ns0:f>'逐日加班'!A91</ns0:f>
        <ns0:v>2026-05-07</ns0:v>
      </ns0:c>
      <ns0:c r="B62" s="339" t="str">
        <ns0:f>'逐日加班'!B91</ns0:f>
        <ns0:v>2026-05</ns0:v>
      </ns0:c>
      <ns0:c r="C62" s="339" t="str">
        <ns0:f>'逐日加班'!E91</ns0:f>
        <ns0:v>09:49</ns0:v>
      </ns0:c>
      <ns0:c r="D62" s="339" t="str">
        <ns0:f>'逐日加班'!F91</ns0:f>
        <ns0:v>20:20</ns0:v>
      </ns0:c>
      <ns0:c r="E62" s="341" t="n">
        <ns0:f>8+'逐日加班'!G91/60</ns0:f>
        <ns0:v>9.516666666666666</ns0:v>
      </ns0:c>
      <ns0:c r="F62" s="341" t="n">
        <ns0:f>MAX(0,INT(E62-8))</ns0:f>
        <ns0:v>1</ns0:v>
      </ns0:c>
      <ns0:c r="G62" s="341" t="n">
        <ns0:f>'逐日加班'!R91</ns0:f>
        <ns0:v>1</ns0:v>
      </ns0:c>
      <ns0:c r="H62" s="339" t="str">
        <ns0:f>'逐日加班'!N91</ns0:f>
        <ns0:v>/Users/a./Desktop/飞书考勤留存_2026-10-27/逐日原始打卡截图与汇总_2026-10-27/原始截图/2026-05-07_01_日历与上部.jpg</ns0:v>
      </ns0:c>
    </ns0:row>
    <ns0:row r="63" ht="35" customHeight="1">
      <ns0:c r="A63" s="339" t="str">
        <ns0:f>'逐日加班'!A92</ns0:f>
        <ns0:v>2026-05-08</ns0:v>
      </ns0:c>
      <ns0:c r="B63" s="339" t="str">
        <ns0:f>'逐日加班'!B92</ns0:f>
        <ns0:v>2026-05</ns0:v>
      </ns0:c>
      <ns0:c r="C63" s="339" t="str">
        <ns0:f>'逐日加班'!E92</ns0:f>
        <ns0:v>09:52</ns0:v>
      </ns0:c>
      <ns0:c r="D63" s="339" t="str">
        <ns0:f>'逐日加班'!F92</ns0:f>
        <ns0:v>20:01</ns0:v>
      </ns0:c>
      <ns0:c r="E63" s="341" t="n">
        <ns0:f>8+'逐日加班'!G92/60</ns0:f>
        <ns0:v>9.15</ns0:v>
      </ns0:c>
      <ns0:c r="F63" s="341" t="n">
        <ns0:f>MAX(0,INT(E63-8))</ns0:f>
        <ns0:v>1</ns0:v>
      </ns0:c>
      <ns0:c r="G63" s="341" t="n">
        <ns0:f>'逐日加班'!R92</ns0:f>
        <ns0:v>1</ns0:v>
      </ns0:c>
      <ns0:c r="H63" s="339" t="str">
        <ns0:f>'逐日加班'!N92</ns0:f>
        <ns0:v>/Users/a./Desktop/飞书考勤留存_2026-10-27/逐日原始打卡截图与汇总_2026-10-27/原始截图/2026-05-08_01_日历与上部.jpg</ns0:v>
      </ns0:c>
    </ns0:row>
    <ns0:row r="64" ht="35" customHeight="1">
      <ns0:c r="A64" s="339" t="str">
        <ns0:f>'逐日加班'!A93</ns0:f>
        <ns0:v>2026-05-09</ns0:v>
      </ns0:c>
      <ns0:c r="B64" s="339" t="str">
        <ns0:f>'逐日加班'!B93</ns0:f>
        <ns0:v>2026-05</ns0:v>
      </ns0:c>
      <ns0:c r="C64" s="339" t="str">
        <ns0:f>'逐日加班'!E93</ns0:f>
        <ns0:v>09:50</ns0:v>
      </ns0:c>
      <ns0:c r="D64" s="339" t="str">
        <ns0:f>'逐日加班'!F93</ns0:f>
        <ns0:v>19:51</ns0:v>
      </ns0:c>
      <ns0:c r="E64" s="341" t="n">
        <ns0:f>8+'逐日加班'!G93/60</ns0:f>
        <ns0:v>9.016666666666666</ns0:v>
      </ns0:c>
      <ns0:c r="F64" s="341" t="n">
        <ns0:f>MAX(0,INT(E64-8))</ns0:f>
        <ns0:v>1</ns0:v>
      </ns0:c>
      <ns0:c r="G64" s="341" t="n">
        <ns0:f>'逐日加班'!R93</ns0:f>
        <ns0:v>1</ns0:v>
      </ns0:c>
      <ns0:c r="H64" s="339" t="str">
        <ns0:f>'逐日加班'!N93</ns0:f>
        <ns0:v>/Users/a./Desktop/飞书考勤留存_2026-10-27/逐日原始打卡截图与汇总_2026-10-27/原始截图/2026-05-09_01_日历与上部.jpg</ns0:v>
      </ns0:c>
    </ns0:row>
    <ns0:row r="65" ht="35" customHeight="1">
      <ns0:c r="A65" s="339" t="str">
        <ns0:f>'逐日加班'!A94</ns0:f>
        <ns0:v>2026-05-11</ns0:v>
      </ns0:c>
      <ns0:c r="B65" s="339" t="str">
        <ns0:f>'逐日加班'!B94</ns0:f>
        <ns0:v>2026-05</ns0:v>
      </ns0:c>
      <ns0:c r="C65" s="339" t="str">
        <ns0:f>'逐日加班'!E94</ns0:f>
        <ns0:v>09:54</ns0:v>
      </ns0:c>
      <ns0:c r="D65" s="339" t="str">
        <ns0:f>'逐日加班'!F94</ns0:f>
        <ns0:v>19:56</ns0:v>
      </ns0:c>
      <ns0:c r="E65" s="341" t="n">
        <ns0:f>8+'逐日加班'!G94/60</ns0:f>
        <ns0:v>9.033333333333333</ns0:v>
      </ns0:c>
      <ns0:c r="F65" s="341" t="n">
        <ns0:f>MAX(0,INT(E65-8))</ns0:f>
        <ns0:v>1</ns0:v>
      </ns0:c>
      <ns0:c r="G65" s="341" t="n">
        <ns0:f>'逐日加班'!R94</ns0:f>
        <ns0:v>1</ns0:v>
      </ns0:c>
      <ns0:c r="H65" s="339" t="str">
        <ns0:f>'逐日加班'!N94</ns0:f>
        <ns0:v>/Users/a./Desktop/飞书考勤留存_2026-10-27/逐日原始打卡截图与汇总_2026-10-27/原始截图/2026-05-11_01_日历与上部.jpg</ns0:v>
      </ns0:c>
    </ns0:row>
    <ns0:row r="66" ht="35" customHeight="1">
      <ns0:c r="A66" s="339" t="str">
        <ns0:f>'逐日加班'!A95</ns0:f>
        <ns0:v>2026-05-12</ns0:v>
      </ns0:c>
      <ns0:c r="B66" s="339" t="str">
        <ns0:f>'逐日加班'!B95</ns0:f>
        <ns0:v>2026-05</ns0:v>
      </ns0:c>
      <ns0:c r="C66" s="339" t="str">
        <ns0:f>'逐日加班'!E95</ns0:f>
        <ns0:v>09:53</ns0:v>
      </ns0:c>
      <ns0:c r="D66" s="339" t="str">
        <ns0:f>'逐日加班'!F95</ns0:f>
        <ns0:v>19:54</ns0:v>
      </ns0:c>
      <ns0:c r="E66" s="341" t="n">
        <ns0:f>8+'逐日加班'!G95/60</ns0:f>
        <ns0:v>9.016666666666666</ns0:v>
      </ns0:c>
      <ns0:c r="F66" s="341" t="n">
        <ns0:f>MAX(0,INT(E66-8))</ns0:f>
        <ns0:v>1</ns0:v>
      </ns0:c>
      <ns0:c r="G66" s="341" t="n">
        <ns0:f>'逐日加班'!R95</ns0:f>
        <ns0:v>1</ns0:v>
      </ns0:c>
      <ns0:c r="H66" s="339" t="str">
        <ns0:f>'逐日加班'!N95</ns0:f>
        <ns0:v>/Users/a./Desktop/飞书考勤留存_2026-10-27/逐日原始打卡截图与汇总_2026-10-27/原始截图/2026-05-12_01_日历与上部.jpg</ns0:v>
      </ns0:c>
    </ns0:row>
    <ns0:row r="67" ht="35" customHeight="1">
      <ns0:c r="A67" s="339" t="str">
        <ns0:f>'逐日加班'!A96</ns0:f>
        <ns0:v>2026-05-13</ns0:v>
      </ns0:c>
      <ns0:c r="B67" s="339" t="str">
        <ns0:f>'逐日加班'!B96</ns0:f>
        <ns0:v>2026-05</ns0:v>
      </ns0:c>
      <ns0:c r="C67" s="339" t="str">
        <ns0:f>'逐日加班'!E96</ns0:f>
        <ns0:v>09:47</ns0:v>
      </ns0:c>
      <ns0:c r="D67" s="339" t="str">
        <ns0:f>'逐日加班'!F96</ns0:f>
        <ns0:v>19:52</ns0:v>
      </ns0:c>
      <ns0:c r="E67" s="341" t="n">
        <ns0:f>8+'逐日加班'!G96/60</ns0:f>
        <ns0:v>9.083333333333334</ns0:v>
      </ns0:c>
      <ns0:c r="F67" s="341" t="n">
        <ns0:f>MAX(0,INT(E67-8))</ns0:f>
        <ns0:v>1</ns0:v>
      </ns0:c>
      <ns0:c r="G67" s="341" t="n">
        <ns0:f>'逐日加班'!R96</ns0:f>
        <ns0:v>1</ns0:v>
      </ns0:c>
      <ns0:c r="H67" s="339" t="str">
        <ns0:f>'逐日加班'!N96</ns0:f>
        <ns0:v>/Users/a./Desktop/飞书考勤留存_2026-10-27/逐日原始打卡截图与汇总_2026-10-27/原始截图/2026-05-13_01_日历与上部.jpg</ns0:v>
      </ns0:c>
    </ns0:row>
    <ns0:row r="68" ht="35" customHeight="1">
      <ns0:c r="A68" s="339" t="str">
        <ns0:f>'逐日加班'!A97</ns0:f>
        <ns0:v>2026-05-14</ns0:v>
      </ns0:c>
      <ns0:c r="B68" s="339" t="str">
        <ns0:f>'逐日加班'!B97</ns0:f>
        <ns0:v>2026-05</ns0:v>
      </ns0:c>
      <ns0:c r="C68" s="339" t="str">
        <ns0:f>'逐日加班'!E97</ns0:f>
        <ns0:v>09:52</ns0:v>
      </ns0:c>
      <ns0:c r="D68" s="339" t="str">
        <ns0:f>'逐日加班'!F97</ns0:f>
        <ns0:v>20:53</ns0:v>
      </ns0:c>
      <ns0:c r="E68" s="341" t="n">
        <ns0:f>8+'逐日加班'!G97/60</ns0:f>
        <ns0:v>10.016666666666666</ns0:v>
      </ns0:c>
      <ns0:c r="F68" s="341" t="n">
        <ns0:f>MAX(0,INT(E68-8))</ns0:f>
        <ns0:v>2</ns0:v>
      </ns0:c>
      <ns0:c r="G68" s="341" t="n">
        <ns0:f>'逐日加班'!R97</ns0:f>
        <ns0:v>2</ns0:v>
      </ns0:c>
      <ns0:c r="H68" s="339" t="str">
        <ns0:f>'逐日加班'!N97</ns0:f>
        <ns0:v>/Users/a./Desktop/飞书考勤留存_2026-10-27/逐日原始打卡截图与汇总_2026-10-27/原始截图/2026-05-14_01_日历与上部.jpg</ns0:v>
      </ns0:c>
    </ns0:row>
    <ns0:row r="69" ht="35" customHeight="1">
      <ns0:c r="A69" s="339" t="str">
        <ns0:f>'逐日加班'!A98</ns0:f>
        <ns0:v>2026-05-15</ns0:v>
      </ns0:c>
      <ns0:c r="B69" s="339" t="str">
        <ns0:f>'逐日加班'!B98</ns0:f>
        <ns0:v>2026-05</ns0:v>
      </ns0:c>
      <ns0:c r="C69" s="339" t="str">
        <ns0:f>'逐日加班'!E98</ns0:f>
        <ns0:v>09:51</ns0:v>
      </ns0:c>
      <ns0:c r="D69" s="339" t="str">
        <ns0:f>'逐日加班'!F98</ns0:f>
        <ns0:v>20:08</ns0:v>
      </ns0:c>
      <ns0:c r="E69" s="341" t="n">
        <ns0:f>8+'逐日加班'!G98/60</ns0:f>
        <ns0:v>9.283333333333333</ns0:v>
      </ns0:c>
      <ns0:c r="F69" s="341" t="n">
        <ns0:f>MAX(0,INT(E69-8))</ns0:f>
        <ns0:v>1</ns0:v>
      </ns0:c>
      <ns0:c r="G69" s="341" t="n">
        <ns0:f>'逐日加班'!R98</ns0:f>
        <ns0:v>1</ns0:v>
      </ns0:c>
      <ns0:c r="H69" s="339" t="str">
        <ns0:f>'逐日加班'!N98</ns0:f>
        <ns0:v>/Users/a./Desktop/飞书考勤留存_2026-10-27/逐日原始打卡截图与汇总_2026-10-27/原始截图/2026-05-15_01_日历与上部.jpg</ns0:v>
      </ns0:c>
    </ns0:row>
    <ns0:row r="70" ht="35" customHeight="1">
      <ns0:c r="A70" s="339" t="str">
        <ns0:f>'逐日加班'!A100</ns0:f>
        <ns0:v>2026-05-18</ns0:v>
      </ns0:c>
      <ns0:c r="B70" s="339" t="str">
        <ns0:f>'逐日加班'!B100</ns0:f>
        <ns0:v>2026-05</ns0:v>
      </ns0:c>
      <ns0:c r="C70" s="339" t="str">
        <ns0:f>'逐日加班'!E100</ns0:f>
        <ns0:v>09:49</ns0:v>
      </ns0:c>
      <ns0:c r="D70" s="339" t="str">
        <ns0:f>'逐日加班'!F100</ns0:f>
        <ns0:v>20:07</ns0:v>
      </ns0:c>
      <ns0:c r="E70" s="341" t="n">
        <ns0:f>8+'逐日加班'!G100/60</ns0:f>
        <ns0:v>9.3</ns0:v>
      </ns0:c>
      <ns0:c r="F70" s="341" t="n">
        <ns0:f>MAX(0,INT(E70-8))</ns0:f>
        <ns0:v>1</ns0:v>
      </ns0:c>
      <ns0:c r="G70" s="341" t="n">
        <ns0:f>'逐日加班'!R100</ns0:f>
        <ns0:v>1</ns0:v>
      </ns0:c>
      <ns0:c r="H70" s="339" t="str">
        <ns0:f>'逐日加班'!N100</ns0:f>
        <ns0:v>/Users/a./Desktop/飞书考勤留存_2026-10-27/逐日原始打卡截图与汇总_2026-10-27/原始截图/2026-05-18_01_日历与上部.jpg</ns0:v>
      </ns0:c>
    </ns0:row>
    <ns0:row r="71" ht="35" customHeight="1">
      <ns0:c r="A71" s="339" t="str">
        <ns0:f>'逐日加班'!A101</ns0:f>
        <ns0:v>2026-05-19</ns0:v>
      </ns0:c>
      <ns0:c r="B71" s="339" t="str">
        <ns0:f>'逐日加班'!B101</ns0:f>
        <ns0:v>2026-05</ns0:v>
      </ns0:c>
      <ns0:c r="C71" s="339" t="str">
        <ns0:f>'逐日加班'!E101</ns0:f>
        <ns0:v>09:54</ns0:v>
      </ns0:c>
      <ns0:c r="D71" s="339" t="str">
        <ns0:f>'逐日加班'!F101</ns0:f>
        <ns0:v>20:03</ns0:v>
      </ns0:c>
      <ns0:c r="E71" s="341" t="n">
        <ns0:f>8+'逐日加班'!G101/60</ns0:f>
        <ns0:v>9.15</ns0:v>
      </ns0:c>
      <ns0:c r="F71" s="341" t="n">
        <ns0:f>MAX(0,INT(E71-8))</ns0:f>
        <ns0:v>1</ns0:v>
      </ns0:c>
      <ns0:c r="G71" s="341" t="n">
        <ns0:f>'逐日加班'!R101</ns0:f>
        <ns0:v>1</ns0:v>
      </ns0:c>
      <ns0:c r="H71" s="339" t="str">
        <ns0:f>'逐日加班'!N101</ns0:f>
        <ns0:v>/Users/a./Desktop/飞书考勤留存_2026-10-27/逐日原始打卡截图与汇总_2026-10-27/原始截图/2026-05-19_01_日历与上部.jpg</ns0:v>
      </ns0:c>
    </ns0:row>
    <ns0:row r="72" ht="35" customHeight="1">
      <ns0:c r="A72" s="339" t="str">
        <ns0:f>'逐日加班'!A102</ns0:f>
        <ns0:v>2026-05-20</ns0:v>
      </ns0:c>
      <ns0:c r="B72" s="339" t="str">
        <ns0:f>'逐日加班'!B102</ns0:f>
        <ns0:v>2026-05</ns0:v>
      </ns0:c>
      <ns0:c r="C72" s="339" t="str">
        <ns0:f>'逐日加班'!E102</ns0:f>
        <ns0:v>09:54</ns0:v>
      </ns0:c>
      <ns0:c r="D72" s="339" t="str">
        <ns0:f>'逐日加班'!F102</ns0:f>
        <ns0:v>20:03</ns0:v>
      </ns0:c>
      <ns0:c r="E72" s="341" t="n">
        <ns0:f>8+'逐日加班'!G102/60</ns0:f>
        <ns0:v>9.15</ns0:v>
      </ns0:c>
      <ns0:c r="F72" s="341" t="n">
        <ns0:f>MAX(0,INT(E72-8))</ns0:f>
        <ns0:v>1</ns0:v>
      </ns0:c>
      <ns0:c r="G72" s="341" t="n">
        <ns0:f>'逐日加班'!R102</ns0:f>
        <ns0:v>1</ns0:v>
      </ns0:c>
      <ns0:c r="H72" s="339" t="str">
        <ns0:f>'逐日加班'!N102</ns0:f>
        <ns0:v>/Users/a./Desktop/飞书考勤留存_2026-10-27/逐日原始打卡截图与汇总_2026-10-27/原始截图/2026-05-20_01_日历与上部.jpg</ns0:v>
      </ns0:c>
    </ns0:row>
    <ns0:row r="73" ht="35" customHeight="1">
      <ns0:c r="A73" s="339" t="str">
        <ns0:f>'逐日加班'!A103</ns0:f>
        <ns0:v>2026-05-21</ns0:v>
      </ns0:c>
      <ns0:c r="B73" s="339" t="str">
        <ns0:f>'逐日加班'!B103</ns0:f>
        <ns0:v>2026-05</ns0:v>
      </ns0:c>
      <ns0:c r="C73" s="339" t="str">
        <ns0:f>'逐日加班'!E103</ns0:f>
        <ns0:v>09:53</ns0:v>
      </ns0:c>
      <ns0:c r="D73" s="339" t="str">
        <ns0:f>'逐日加班'!F103</ns0:f>
        <ns0:v>20:00</ns0:v>
      </ns0:c>
      <ns0:c r="E73" s="341" t="n">
        <ns0:f>8+'逐日加班'!G103/60</ns0:f>
        <ns0:v>9.116666666666667</ns0:v>
      </ns0:c>
      <ns0:c r="F73" s="341" t="n">
        <ns0:f>MAX(0,INT(E73-8))</ns0:f>
        <ns0:v>1</ns0:v>
      </ns0:c>
      <ns0:c r="G73" s="341" t="n">
        <ns0:f>'逐日加班'!R103</ns0:f>
        <ns0:v>1</ns0:v>
      </ns0:c>
      <ns0:c r="H73" s="339" t="str">
        <ns0:f>'逐日加班'!N103</ns0:f>
        <ns0:v>/Users/a./Desktop/飞书考勤留存_2026-10-27/逐日原始打卡截图与汇总_2026-10-27/原始截图/2026-05-21_01_日历与上部.jpg</ns0:v>
      </ns0:c>
    </ns0:row>
    <ns0:row r="74" ht="35" customHeight="1">
      <ns0:c r="A74" s="339" t="str">
        <ns0:f>'逐日加班'!A104</ns0:f>
        <ns0:v>2026-05-22</ns0:v>
      </ns0:c>
      <ns0:c r="B74" s="339" t="str">
        <ns0:f>'逐日加班'!B104</ns0:f>
        <ns0:v>2026-05</ns0:v>
      </ns0:c>
      <ns0:c r="C74" s="339" t="str">
        <ns0:f>'逐日加班'!E104</ns0:f>
        <ns0:v>09:54</ns0:v>
      </ns0:c>
      <ns0:c r="D74" s="339" t="str">
        <ns0:f>'逐日加班'!F104</ns0:f>
        <ns0:v>20:13</ns0:v>
      </ns0:c>
      <ns0:c r="E74" s="341" t="n">
        <ns0:f>8+'逐日加班'!G104/60</ns0:f>
        <ns0:v>9.316666666666666</ns0:v>
      </ns0:c>
      <ns0:c r="F74" s="341" t="n">
        <ns0:f>MAX(0,INT(E74-8))</ns0:f>
        <ns0:v>1</ns0:v>
      </ns0:c>
      <ns0:c r="G74" s="341" t="n">
        <ns0:f>'逐日加班'!R104</ns0:f>
        <ns0:v>1</ns0:v>
      </ns0:c>
      <ns0:c r="H74" s="339" t="str">
        <ns0:f>'逐日加班'!N104</ns0:f>
        <ns0:v>/Users/a./Desktop/飞书考勤留存_2026-10-27/逐日原始打卡截图与汇总_2026-10-27/原始截图/2026-05-22_01_日历与上部.jpg</ns0:v>
      </ns0:c>
    </ns0:row>
    <ns0:row r="75" ht="35" customHeight="1">
      <ns0:c r="A75" s="339" t="str">
        <ns0:f>'逐日加班'!A106</ns0:f>
        <ns0:v>2026-05-25</ns0:v>
      </ns0:c>
      <ns0:c r="B75" s="339" t="str">
        <ns0:f>'逐日加班'!B106</ns0:f>
        <ns0:v>2026-05</ns0:v>
      </ns0:c>
      <ns0:c r="C75" s="339" t="str">
        <ns0:f>'逐日加班'!E106</ns0:f>
        <ns0:v>09:48</ns0:v>
      </ns0:c>
      <ns0:c r="D75" s="339" t="str">
        <ns0:f>'逐日加班'!F106</ns0:f>
        <ns0:v>21:49</ns0:v>
      </ns0:c>
      <ns0:c r="E75" s="341" t="n">
        <ns0:f>8+'逐日加班'!G106/60</ns0:f>
        <ns0:v>11.016666666666666</ns0:v>
      </ns0:c>
      <ns0:c r="F75" s="341" t="n">
        <ns0:f>MAX(0,INT(E75-8))</ns0:f>
        <ns0:v>3</ns0:v>
      </ns0:c>
      <ns0:c r="G75" s="341" t="n">
        <ns0:f>'逐日加班'!R106</ns0:f>
        <ns0:v>3</ns0:v>
      </ns0:c>
      <ns0:c r="H75" s="339" t="str">
        <ns0:f>'逐日加班'!N106</ns0:f>
        <ns0:v>/Users/a./Desktop/飞书考勤留存_2026-10-27/逐日原始打卡截图与汇总_2026-10-27/原始截图/2026-05-25_01_日历与上部.jpg</ns0:v>
      </ns0:c>
    </ns0:row>
    <ns0:row r="76" ht="35" customHeight="1">
      <ns0:c r="A76" s="339" t="str">
        <ns0:f>'逐日加班'!A107</ns0:f>
        <ns0:v>2026-05-26</ns0:v>
      </ns0:c>
      <ns0:c r="B76" s="339" t="str">
        <ns0:f>'逐日加班'!B107</ns0:f>
        <ns0:v>2026-05</ns0:v>
      </ns0:c>
      <ns0:c r="C76" s="339" t="str">
        <ns0:f>'逐日加班'!E107</ns0:f>
        <ns0:v>09:54</ns0:v>
      </ns0:c>
      <ns0:c r="D76" s="339" t="str">
        <ns0:f>'逐日加班'!F107</ns0:f>
        <ns0:v>20:20</ns0:v>
      </ns0:c>
      <ns0:c r="E76" s="341" t="n">
        <ns0:f>8+'逐日加班'!G107/60</ns0:f>
        <ns0:v>9.433333333333334</ns0:v>
      </ns0:c>
      <ns0:c r="F76" s="341" t="n">
        <ns0:f>MAX(0,INT(E76-8))</ns0:f>
        <ns0:v>1</ns0:v>
      </ns0:c>
      <ns0:c r="G76" s="341" t="n">
        <ns0:f>'逐日加班'!R107</ns0:f>
        <ns0:v>1</ns0:v>
      </ns0:c>
      <ns0:c r="H76" s="339" t="str">
        <ns0:f>'逐日加班'!N107</ns0:f>
        <ns0:v>/Users/a./Desktop/飞书考勤留存_2026-10-27/逐日原始打卡截图与汇总_2026-10-27/原始截图/2026-05-26_01_日历与上部.jpg</ns0:v>
      </ns0:c>
    </ns0:row>
    <ns0:row r="77" ht="35" customHeight="1">
      <ns0:c r="A77" s="339" t="str">
        <ns0:f>'逐日加班'!A108</ns0:f>
        <ns0:v>2026-05-27</ns0:v>
      </ns0:c>
      <ns0:c r="B77" s="339" t="str">
        <ns0:f>'逐日加班'!B108</ns0:f>
        <ns0:v>2026-05</ns0:v>
      </ns0:c>
      <ns0:c r="C77" s="339" t="str">
        <ns0:f>'逐日加班'!E108</ns0:f>
        <ns0:v>09:52</ns0:v>
      </ns0:c>
      <ns0:c r="D77" s="339" t="str">
        <ns0:f>'逐日加班'!F108</ns0:f>
        <ns0:v>19:53</ns0:v>
      </ns0:c>
      <ns0:c r="E77" s="341" t="n">
        <ns0:f>8+'逐日加班'!G108/60</ns0:f>
        <ns0:v>9.016666666666666</ns0:v>
      </ns0:c>
      <ns0:c r="F77" s="341" t="n">
        <ns0:f>MAX(0,INT(E77-8))</ns0:f>
        <ns0:v>1</ns0:v>
      </ns0:c>
      <ns0:c r="G77" s="341" t="n">
        <ns0:f>'逐日加班'!R108</ns0:f>
        <ns0:v>1</ns0:v>
      </ns0:c>
      <ns0:c r="H77" s="339" t="str">
        <ns0:f>'逐日加班'!N108</ns0:f>
        <ns0:v>/Users/a./Desktop/飞书考勤留存_2026-10-27/逐日原始打卡截图与汇总_2026-10-27/原始截图/2026-05-27_01_日历与上部.jpg</ns0:v>
      </ns0:c>
    </ns0:row>
    <ns0:row r="78" ht="35" customHeight="1">
      <ns0:c r="A78" s="339" t="str">
        <ns0:f>'逐日加班'!A109</ns0:f>
        <ns0:v>2026-05-28</ns0:v>
      </ns0:c>
      <ns0:c r="B78" s="339" t="str">
        <ns0:f>'逐日加班'!B109</ns0:f>
        <ns0:v>2026-05</ns0:v>
      </ns0:c>
      <ns0:c r="C78" s="339" t="str">
        <ns0:f>'逐日加班'!E109</ns0:f>
        <ns0:v>09:54</ns0:v>
      </ns0:c>
      <ns0:c r="D78" s="339" t="str">
        <ns0:f>'逐日加班'!F109</ns0:f>
        <ns0:v>20:04</ns0:v>
      </ns0:c>
      <ns0:c r="E78" s="341" t="n">
        <ns0:f>8+'逐日加班'!G109/60</ns0:f>
        <ns0:v>9.166666666666666</ns0:v>
      </ns0:c>
      <ns0:c r="F78" s="341" t="n">
        <ns0:f>MAX(0,INT(E78-8))</ns0:f>
        <ns0:v>1</ns0:v>
      </ns0:c>
      <ns0:c r="G78" s="341" t="n">
        <ns0:f>'逐日加班'!R109</ns0:f>
        <ns0:v>1</ns0:v>
      </ns0:c>
      <ns0:c r="H78" s="339" t="str">
        <ns0:f>'逐日加班'!N109</ns0:f>
        <ns0:v>/Users/a./Desktop/飞书考勤留存_2026-10-27/逐日原始打卡截图与汇总_2026-10-27/原始截图/2026-05-28_01_日历与上部.jpg</ns0:v>
      </ns0:c>
    </ns0:row>
    <ns0:row r="79" ht="35" customHeight="1">
      <ns0:c r="A79" s="339" t="str">
        <ns0:f>'逐日加班'!A111</ns0:f>
        <ns0:v>2026-06-01</ns0:v>
      </ns0:c>
      <ns0:c r="B79" s="339" t="str">
        <ns0:f>'逐日加班'!B111</ns0:f>
        <ns0:v>2026-06</ns0:v>
      </ns0:c>
      <ns0:c r="C79" s="339" t="str">
        <ns0:f>'逐日加班'!E111</ns0:f>
        <ns0:v>09:51</ns0:v>
      </ns0:c>
      <ns0:c r="D79" s="339" t="str">
        <ns0:f>'逐日加班'!F111</ns0:f>
        <ns0:v>20:01</ns0:v>
      </ns0:c>
      <ns0:c r="E79" s="341" t="n">
        <ns0:f>8+'逐日加班'!G111/60</ns0:f>
        <ns0:v>9.166666666666666</ns0:v>
      </ns0:c>
      <ns0:c r="F79" s="341" t="n">
        <ns0:f>MAX(0,INT(E79-8))</ns0:f>
        <ns0:v>1</ns0:v>
      </ns0:c>
      <ns0:c r="G79" s="341" t="n">
        <ns0:f>'逐日加班'!R111</ns0:f>
        <ns0:v>1</ns0:v>
      </ns0:c>
      <ns0:c r="H79" s="339" t="str">
        <ns0:f>'逐日加班'!N111</ns0:f>
        <ns0:v>/Users/a./Desktop/飞书考勤留存_2026-10-27/逐日原始打卡截图与汇总_2026-10-27/原始截图/2026-06-01_01_日历与上部.jpg</ns0:v>
      </ns0:c>
    </ns0:row>
    <ns0:row r="80" ht="35" customHeight="1">
      <ns0:c r="A80" s="339" t="str">
        <ns0:f>'逐日加班'!A112</ns0:f>
        <ns0:v>2026-06-02</ns0:v>
      </ns0:c>
      <ns0:c r="B80" s="339" t="str">
        <ns0:f>'逐日加班'!B112</ns0:f>
        <ns0:v>2026-06</ns0:v>
      </ns0:c>
      <ns0:c r="C80" s="339" t="str">
        <ns0:f>'逐日加班'!E112</ns0:f>
        <ns0:v>09:52</ns0:v>
      </ns0:c>
      <ns0:c r="D80" s="339" t="str">
        <ns0:f>'逐日加班'!F112</ns0:f>
        <ns0:v>20:00</ns0:v>
      </ns0:c>
      <ns0:c r="E80" s="341" t="n">
        <ns0:f>8+'逐日加班'!G112/60</ns0:f>
        <ns0:v>9.133333333333333</ns0:v>
      </ns0:c>
      <ns0:c r="F80" s="341" t="n">
        <ns0:f>MAX(0,INT(E80-8))</ns0:f>
        <ns0:v>1</ns0:v>
      </ns0:c>
      <ns0:c r="G80" s="341" t="n">
        <ns0:f>'逐日加班'!R112</ns0:f>
        <ns0:v>1</ns0:v>
      </ns0:c>
      <ns0:c r="H80" s="339" t="str">
        <ns0:f>'逐日加班'!N112</ns0:f>
        <ns0:v>/Users/a./Desktop/飞书考勤留存_2026-10-27/逐日原始打卡截图与汇总_2026-10-27/原始截图/2026-06-02_01_日历与上部.jpg</ns0:v>
      </ns0:c>
    </ns0:row>
    <ns0:row r="81" ht="35" customHeight="1">
      <ns0:c r="A81" s="339" t="str">
        <ns0:f>'逐日加班'!A113</ns0:f>
        <ns0:v>2026-06-03</ns0:v>
      </ns0:c>
      <ns0:c r="B81" s="339" t="str">
        <ns0:f>'逐日加班'!B113</ns0:f>
        <ns0:v>2026-06</ns0:v>
      </ns0:c>
      <ns0:c r="C81" s="339" t="str">
        <ns0:f>'逐日加班'!E113</ns0:f>
        <ns0:v>09:50</ns0:v>
      </ns0:c>
      <ns0:c r="D81" s="339" t="str">
        <ns0:f>'逐日加班'!F113</ns0:f>
        <ns0:v>19:58</ns0:v>
      </ns0:c>
      <ns0:c r="E81" s="341" t="n">
        <ns0:f>8+'逐日加班'!G113/60</ns0:f>
        <ns0:v>9.133333333333333</ns0:v>
      </ns0:c>
      <ns0:c r="F81" s="341" t="n">
        <ns0:f>MAX(0,INT(E81-8))</ns0:f>
        <ns0:v>1</ns0:v>
      </ns0:c>
      <ns0:c r="G81" s="341" t="n">
        <ns0:f>'逐日加班'!R113</ns0:f>
        <ns0:v>1</ns0:v>
      </ns0:c>
      <ns0:c r="H81" s="339" t="str">
        <ns0:f>'逐日加班'!N113</ns0:f>
        <ns0:v>/Users/a./Desktop/飞书考勤留存_2026-10-27/逐日原始打卡截图与汇总_2026-10-27/原始截图/2026-06-03_01_日历与上部.jpg</ns0:v>
      </ns0:c>
    </ns0:row>
    <ns0:row r="82" ht="35" customHeight="1">
      <ns0:c r="A82" s="339" t="str">
        <ns0:f>'逐日加班'!A114</ns0:f>
        <ns0:v>2026-06-04</ns0:v>
      </ns0:c>
      <ns0:c r="B82" s="339" t="str">
        <ns0:f>'逐日加班'!B114</ns0:f>
        <ns0:v>2026-06</ns0:v>
      </ns0:c>
      <ns0:c r="C82" s="339" t="str">
        <ns0:f>'逐日加班'!E114</ns0:f>
        <ns0:v>09:53</ns0:v>
      </ns0:c>
      <ns0:c r="D82" s="339" t="str">
        <ns0:f>'逐日加班'!F114</ns0:f>
        <ns0:v>19:53</ns0:v>
      </ns0:c>
      <ns0:c r="E82" s="341" t="n">
        <ns0:f>8+'逐日加班'!G114/60</ns0:f>
        <ns0:v>9</ns0:v>
      </ns0:c>
      <ns0:c r="F82" s="341" t="n">
        <ns0:f>MAX(0,INT(E82-8))</ns0:f>
        <ns0:v>1</ns0:v>
      </ns0:c>
      <ns0:c r="G82" s="341" t="n">
        <ns0:f>'逐日加班'!R114</ns0:f>
        <ns0:v>1</ns0:v>
      </ns0:c>
      <ns0:c r="H82" s="339" t="str">
        <ns0:f>'逐日加班'!N114</ns0:f>
        <ns0:v>/Users/a./Desktop/飞书考勤留存_2026-10-27/逐日原始打卡截图与汇总_2026-10-27/原始截图/2026-06-04_01_日历与上部.jpg</ns0:v>
      </ns0:c>
    </ns0:row>
    <ns0:row r="83" ht="35" customHeight="1">
      <ns0:c r="A83" s="339" t="str">
        <ns0:f>'逐日加班'!A116</ns0:f>
        <ns0:v>2026-06-08</ns0:v>
      </ns0:c>
      <ns0:c r="B83" s="339" t="str">
        <ns0:f>'逐日加班'!B116</ns0:f>
        <ns0:v>2026-06</ns0:v>
      </ns0:c>
      <ns0:c r="C83" s="339" t="str">
        <ns0:f>'逐日加班'!E116</ns0:f>
        <ns0:v>09:54</ns0:v>
      </ns0:c>
      <ns0:c r="D83" s="339" t="str">
        <ns0:f>'逐日加班'!F116</ns0:f>
        <ns0:v>19:55</ns0:v>
      </ns0:c>
      <ns0:c r="E83" s="341" t="n">
        <ns0:f>8+'逐日加班'!G116/60</ns0:f>
        <ns0:v>9.016666666666666</ns0:v>
      </ns0:c>
      <ns0:c r="F83" s="341" t="n">
        <ns0:f>MAX(0,INT(E83-8))</ns0:f>
        <ns0:v>1</ns0:v>
      </ns0:c>
      <ns0:c r="G83" s="341" t="n">
        <ns0:f>'逐日加班'!R116</ns0:f>
        <ns0:v>1</ns0:v>
      </ns0:c>
      <ns0:c r="H83" s="339" t="str">
        <ns0:f>'逐日加班'!N116</ns0:f>
        <ns0:v>/Users/a./Desktop/飞书考勤留存_2026-10-27/逐日原始打卡截图与汇总_2026-10-27/原始截图/2026-06-08_01_日历与上部.jpg</ns0:v>
      </ns0:c>
    </ns0:row>
    <ns0:row r="84" ht="35" customHeight="1">
      <ns0:c r="A84" s="339" t="str">
        <ns0:f>'逐日加班'!A117</ns0:f>
        <ns0:v>2026-06-09</ns0:v>
      </ns0:c>
      <ns0:c r="B84" s="339" t="str">
        <ns0:f>'逐日加班'!B117</ns0:f>
        <ns0:v>2026-06</ns0:v>
      </ns0:c>
      <ns0:c r="C84" s="339" t="str">
        <ns0:f>'逐日加班'!E117</ns0:f>
        <ns0:v>09:54</ns0:v>
      </ns0:c>
      <ns0:c r="D84" s="339" t="str">
        <ns0:f>'逐日加班'!F117</ns0:f>
        <ns0:v>22:00</ns0:v>
      </ns0:c>
      <ns0:c r="E84" s="341" t="n">
        <ns0:f>8+'逐日加班'!G117/60</ns0:f>
        <ns0:v>11.1</ns0:v>
      </ns0:c>
      <ns0:c r="F84" s="341" t="n">
        <ns0:f>MAX(0,INT(E84-8))</ns0:f>
        <ns0:v>3</ns0:v>
      </ns0:c>
      <ns0:c r="G84" s="341" t="n">
        <ns0:f>'逐日加班'!R117</ns0:f>
        <ns0:v>3</ns0:v>
      </ns0:c>
      <ns0:c r="H84" s="339" t="str">
        <ns0:f>'逐日加班'!N117</ns0:f>
        <ns0:v>/Users/a./Desktop/飞书考勤留存_2026-10-27/逐日原始打卡截图与汇总_2026-10-27/原始截图/2026-06-09_01_日历与上部.jpg</ns0:v>
      </ns0:c>
    </ns0:row>
    <ns0:row r="85" ht="35" customHeight="1">
      <ns0:c r="A85" s="339" t="str">
        <ns0:f>'逐日加班'!A118</ns0:f>
        <ns0:v>2026-06-10</ns0:v>
      </ns0:c>
      <ns0:c r="B85" s="339" t="str">
        <ns0:f>'逐日加班'!B118</ns0:f>
        <ns0:v>2026-06</ns0:v>
      </ns0:c>
      <ns0:c r="C85" s="339" t="str">
        <ns0:f>'逐日加班'!E118</ns0:f>
        <ns0:v>09:54</ns0:v>
      </ns0:c>
      <ns0:c r="D85" s="339" t="str">
        <ns0:f>'逐日加班'!F118</ns0:f>
        <ns0:v>20:03</ns0:v>
      </ns0:c>
      <ns0:c r="E85" s="341" t="n">
        <ns0:f>8+'逐日加班'!G118/60</ns0:f>
        <ns0:v>9.15</ns0:v>
      </ns0:c>
      <ns0:c r="F85" s="341" t="n">
        <ns0:f>MAX(0,INT(E85-8))</ns0:f>
        <ns0:v>1</ns0:v>
      </ns0:c>
      <ns0:c r="G85" s="341" t="n">
        <ns0:f>'逐日加班'!R118</ns0:f>
        <ns0:v>1</ns0:v>
      </ns0:c>
      <ns0:c r="H85" s="339" t="str">
        <ns0:f>'逐日加班'!N118</ns0:f>
        <ns0:v>/Users/a./Desktop/飞书考勤留存_2026-10-27/逐日原始打卡截图与汇总_2026-10-27/原始截图/2026-06-10_01_日历与上部.jpg</ns0:v>
      </ns0:c>
    </ns0:row>
    <ns0:row r="86" ht="35" customHeight="1">
      <ns0:c r="A86" s="339" t="str">
        <ns0:f>'逐日加班'!A119</ns0:f>
        <ns0:v>2026-06-12</ns0:v>
      </ns0:c>
      <ns0:c r="B86" s="339" t="str">
        <ns0:f>'逐日加班'!B119</ns0:f>
        <ns0:v>2026-06</ns0:v>
      </ns0:c>
      <ns0:c r="C86" s="339" t="str">
        <ns0:f>'逐日加班'!E119</ns0:f>
        <ns0:v>09:54</ns0:v>
      </ns0:c>
      <ns0:c r="D86" s="339" t="str">
        <ns0:f>'逐日加班'!F119</ns0:f>
        <ns0:v>19:55</ns0:v>
      </ns0:c>
      <ns0:c r="E86" s="341" t="n">
        <ns0:f>8+'逐日加班'!G119/60</ns0:f>
        <ns0:v>9.016666666666666</ns0:v>
      </ns0:c>
      <ns0:c r="F86" s="341" t="n">
        <ns0:f>MAX(0,INT(E86-8))</ns0:f>
        <ns0:v>1</ns0:v>
      </ns0:c>
      <ns0:c r="G86" s="341" t="n">
        <ns0:f>'逐日加班'!R119</ns0:f>
        <ns0:v>1</ns0:v>
      </ns0:c>
      <ns0:c r="H86" s="339" t="str">
        <ns0:f>'逐日加班'!N119</ns0:f>
        <ns0:v>/Users/a./Desktop/飞书考勤留存_2026-10-27/逐日原始打卡截图与汇总_2026-10-27/原始截图/2026-06-12_01_日历与上部.jpg</ns0:v>
      </ns0:c>
    </ns0:row>
    <ns0:row r="87" ht="35" customHeight="1">
      <ns0:c r="A87" s="339" t="str">
        <ns0:f>'逐日加班'!A121</ns0:f>
        <ns0:v>2026-06-15</ns0:v>
      </ns0:c>
      <ns0:c r="B87" s="339" t="str">
        <ns0:f>'逐日加班'!B121</ns0:f>
        <ns0:v>2026-06</ns0:v>
      </ns0:c>
      <ns0:c r="C87" s="339" t="str">
        <ns0:f>'逐日加班'!E121</ns0:f>
        <ns0:v>09:52</ns0:v>
      </ns0:c>
      <ns0:c r="D87" s="339" t="str">
        <ns0:f>'逐日加班'!F121</ns0:f>
        <ns0:v>20:01</ns0:v>
      </ns0:c>
      <ns0:c r="E87" s="341" t="n">
        <ns0:f>8+'逐日加班'!G121/60</ns0:f>
        <ns0:v>9.15</ns0:v>
      </ns0:c>
      <ns0:c r="F87" s="341" t="n">
        <ns0:f>MAX(0,INT(E87-8))</ns0:f>
        <ns0:v>1</ns0:v>
      </ns0:c>
      <ns0:c r="G87" s="341" t="n">
        <ns0:f>'逐日加班'!R121</ns0:f>
        <ns0:v>1</ns0:v>
      </ns0:c>
      <ns0:c r="H87" s="339" t="str">
        <ns0:f>'逐日加班'!N121</ns0:f>
        <ns0:v>/Users/a./Desktop/飞书考勤留存_2026-10-27/逐日原始打卡截图与汇总_2026-10-27/原始截图/2026-06-15_01_日历与上部.jpg</ns0:v>
      </ns0:c>
    </ns0:row>
    <ns0:row r="88" ht="35" customHeight="1">
      <ns0:c r="A88" s="339" t="str">
        <ns0:f>'逐日加班'!A122</ns0:f>
        <ns0:v>2026-06-16</ns0:v>
      </ns0:c>
      <ns0:c r="B88" s="339" t="str">
        <ns0:f>'逐日加班'!B122</ns0:f>
        <ns0:v>2026-06</ns0:v>
      </ns0:c>
      <ns0:c r="C88" s="339" t="str">
        <ns0:f>'逐日加班'!E122</ns0:f>
        <ns0:v>09:59</ns0:v>
      </ns0:c>
      <ns0:c r="D88" s="339" t="str">
        <ns0:f>'逐日加班'!F122</ns0:f>
        <ns0:v>22:16</ns0:v>
      </ns0:c>
      <ns0:c r="E88" s="341" t="n">
        <ns0:f>8+'逐日加班'!G122/60</ns0:f>
        <ns0:v>11.283333333333333</ns0:v>
      </ns0:c>
      <ns0:c r="F88" s="341" t="n">
        <ns0:f>MAX(0,INT(E88-8))</ns0:f>
        <ns0:v>3</ns0:v>
      </ns0:c>
      <ns0:c r="G88" s="341" t="n">
        <ns0:f>'逐日加班'!R122</ns0:f>
        <ns0:v>3</ns0:v>
      </ns0:c>
      <ns0:c r="H88" s="339" t="str">
        <ns0:f>'逐日加班'!N122</ns0:f>
        <ns0:v>/Users/a./Desktop/飞书考勤留存_2026-10-27/逐日原始打卡截图与汇总_2026-10-27/原始截图/2026-06-16_01_日历与上部.jpg</ns0:v>
      </ns0:c>
    </ns0:row>
    <ns0:row r="89" ht="35" customHeight="1">
      <ns0:c r="A89" s="339" t="str">
        <ns0:f>'逐日加班'!A123</ns0:f>
        <ns0:v>2026-06-17</ns0:v>
      </ns0:c>
      <ns0:c r="B89" s="339" t="str">
        <ns0:f>'逐日加班'!B123</ns0:f>
        <ns0:v>2026-06</ns0:v>
      </ns0:c>
      <ns0:c r="C89" s="339" t="str">
        <ns0:f>'逐日加班'!E123</ns0:f>
        <ns0:v>09:56</ns0:v>
      </ns0:c>
      <ns0:c r="D89" s="339" t="str">
        <ns0:f>'逐日加班'!F123</ns0:f>
        <ns0:v>20:08</ns0:v>
      </ns0:c>
      <ns0:c r="E89" s="341" t="n">
        <ns0:f>8+'逐日加班'!G123/60</ns0:f>
        <ns0:v>9.2</ns0:v>
      </ns0:c>
      <ns0:c r="F89" s="341" t="n">
        <ns0:f>MAX(0,INT(E89-8))</ns0:f>
        <ns0:v>1</ns0:v>
      </ns0:c>
      <ns0:c r="G89" s="341" t="n">
        <ns0:f>'逐日加班'!R123</ns0:f>
        <ns0:v>1</ns0:v>
      </ns0:c>
      <ns0:c r="H89" s="339" t="str">
        <ns0:f>'逐日加班'!N123</ns0:f>
        <ns0:v>/Users/a./Desktop/飞书考勤留存_2026-10-27/逐日原始打卡截图与汇总_2026-10-27/原始截图/2026-06-17_01_日历与上部.jpg</ns0:v>
      </ns0:c>
    </ns0:row>
    <ns0:row r="90" ht="35" customHeight="1">
      <ns0:c r="A90" s="339" t="str">
        <ns0:f>'逐日加班'!A125</ns0:f>
        <ns0:v>2026-06-22</ns0:v>
      </ns0:c>
      <ns0:c r="B90" s="339" t="str">
        <ns0:f>'逐日加班'!B125</ns0:f>
        <ns0:v>2026-06</ns0:v>
      </ns0:c>
      <ns0:c r="C90" s="339" t="str">
        <ns0:f>'逐日加班'!E125</ns0:f>
        <ns0:v>09:57</ns0:v>
      </ns0:c>
      <ns0:c r="D90" s="339" t="str">
        <ns0:f>'逐日加班'!F125</ns0:f>
        <ns0:v>20:00</ns0:v>
      </ns0:c>
      <ns0:c r="E90" s="341" t="n">
        <ns0:f>8+'逐日加班'!G125/60</ns0:f>
        <ns0:v>9.05</ns0:v>
      </ns0:c>
      <ns0:c r="F90" s="341" t="n">
        <ns0:f>MAX(0,INT(E90-8))</ns0:f>
        <ns0:v>1</ns0:v>
      </ns0:c>
      <ns0:c r="G90" s="341" t="n">
        <ns0:f>'逐日加班'!R125</ns0:f>
        <ns0:v>1</ns0:v>
      </ns0:c>
      <ns0:c r="H90" s="339" t="str">
        <ns0:f>'逐日加班'!N125</ns0:f>
        <ns0:v>/Users/a./Desktop/飞书考勤留存_2026-10-27/逐日原始打卡截图与汇总_2026-10-27/原始截图/2026-06-22_01_日历与上部.jpg</ns0:v>
      </ns0:c>
    </ns0:row>
    <ns0:row r="91" ht="35" customHeight="1">
      <ns0:c r="A91" s="339" t="str">
        <ns0:f>'逐日加班'!A130</ns0:f>
        <ns0:v>2026-06-29</ns0:v>
      </ns0:c>
      <ns0:c r="B91" s="339" t="str">
        <ns0:f>'逐日加班'!B130</ns0:f>
        <ns0:v>2026-06</ns0:v>
      </ns0:c>
      <ns0:c r="C91" s="339" t="str">
        <ns0:f>'逐日加班'!E130</ns0:f>
        <ns0:v>10:00</ns0:v>
      </ns0:c>
      <ns0:c r="D91" s="339" t="str">
        <ns0:f>'逐日加班'!F130</ns0:f>
        <ns0:v>20:02</ns0:v>
      </ns0:c>
      <ns0:c r="E91" s="341" t="n">
        <ns0:f>8+'逐日加班'!G130/60</ns0:f>
        <ns0:v>9.033333333333333</ns0:v>
      </ns0:c>
      <ns0:c r="F91" s="341" t="n">
        <ns0:f>MAX(0,INT(E91-8))</ns0:f>
        <ns0:v>1</ns0:v>
      </ns0:c>
      <ns0:c r="G91" s="341" t="n">
        <ns0:f>'逐日加班'!R130</ns0:f>
        <ns0:v>1</ns0:v>
      </ns0:c>
      <ns0:c r="H91" s="339" t="str">
        <ns0:f>'逐日加班'!N130</ns0:f>
        <ns0:v>/Users/a./Desktop/飞书考勤留存_2026-10-27/逐日原始打卡截图与汇总_2026-10-27/原始截图/2026-06-29_01_日历与上部.jpg</ns0:v>
      </ns0:c>
    </ns0:row>
    <ns0:row r="92" ht="35" customHeight="1">
      <ns0:c r="A92" s="339" t="str">
        <ns0:f>'逐日加班'!A131</ns0:f>
        <ns0:v>2026-06-30</ns0:v>
      </ns0:c>
      <ns0:c r="B92" s="339" t="str">
        <ns0:f>'逐日加班'!B131</ns0:f>
        <ns0:v>2026-06</ns0:v>
      </ns0:c>
      <ns0:c r="C92" s="339" t="str">
        <ns0:f>'逐日加班'!E131</ns0:f>
        <ns0:v>10:00</ns0:v>
      </ns0:c>
      <ns0:c r="D92" s="339" t="str">
        <ns0:f>'逐日加班'!F131</ns0:f>
        <ns0:v>21:03</ns0:v>
      </ns0:c>
      <ns0:c r="E92" s="341" t="n">
        <ns0:f>8+'逐日加班'!G131/60</ns0:f>
        <ns0:v>10.05</ns0:v>
      </ns0:c>
      <ns0:c r="F92" s="341" t="n">
        <ns0:f>MAX(0,INT(E92-8))</ns0:f>
        <ns0:v>2</ns0:v>
      </ns0:c>
      <ns0:c r="G92" s="341" t="n">
        <ns0:f>'逐日加班'!R131</ns0:f>
        <ns0:v>2</ns0:v>
      </ns0:c>
      <ns0:c r="H92" s="339" t="str">
        <ns0:f>'逐日加班'!N131</ns0:f>
        <ns0:v>/Users/a./Desktop/飞书考勤留存_2026-10-27/逐日原始打卡截图与汇总_2026-10-27/原始截图/2026-06-30_01_日历与上部.jpg</ns0:v>
      </ns0:c>
    </ns0:row>
    <ns0:row r="93" ht="35" customHeight="1">
      <ns0:c r="A93" s="339" t="str">
        <ns0:f>'逐日加班'!A133</ns0:f>
        <ns0:v>2026-07-02</ns0:v>
      </ns0:c>
      <ns0:c r="B93" s="339" t="str">
        <ns0:f>'逐日加班'!B133</ns0:f>
        <ns0:v>2026-07</ns0:v>
      </ns0:c>
      <ns0:c r="C93" s="339" t="str">
        <ns0:f>'逐日加班'!E133</ns0:f>
        <ns0:v>09:58</ns0:v>
      </ns0:c>
      <ns0:c r="D93" s="339" t="str">
        <ns0:f>'逐日加班'!F133</ns0:f>
        <ns0:v>20:10</ns0:v>
      </ns0:c>
      <ns0:c r="E93" s="341" t="n">
        <ns0:f>8+'逐日加班'!G133/60</ns0:f>
        <ns0:v>9.2</ns0:v>
      </ns0:c>
      <ns0:c r="F93" s="341" t="n">
        <ns0:f>MAX(0,INT(E93-8))</ns0:f>
        <ns0:v>1</ns0:v>
      </ns0:c>
      <ns0:c r="G93" s="341" t="n">
        <ns0:f>'逐日加班'!R133</ns0:f>
        <ns0:v>1</ns0:v>
      </ns0:c>
      <ns0:c r="H93" s="339" t="str">
        <ns0:f>'逐日加班'!N133</ns0:f>
        <ns0:v>/Users/a./Desktop/飞书考勤留存_2026-10-27/逐日原始打卡截图与汇总_2026-10-27/原始截图/2026-07-02_01_日历与上部.jpg</ns0:v>
      </ns0:c>
    </ns0:row>
    <ns0:row r="94" ht="35" customHeight="1">
      <ns0:c r="A94" s="339" t="str">
        <ns0:f>'逐日加班'!A134</ns0:f>
        <ns0:v>2026-07-03</ns0:v>
      </ns0:c>
      <ns0:c r="B94" s="339" t="str">
        <ns0:f>'逐日加班'!B134</ns0:f>
        <ns0:v>2026-07</ns0:v>
      </ns0:c>
      <ns0:c r="C94" s="339" t="str">
        <ns0:f>'逐日加班'!E134</ns0:f>
        <ns0:v>09:56</ns0:v>
      </ns0:c>
      <ns0:c r="D94" s="339" t="str">
        <ns0:f>'逐日加班'!F134</ns0:f>
        <ns0:v>20:23</ns0:v>
      </ns0:c>
      <ns0:c r="E94" s="341" t="n">
        <ns0:f>8+'逐日加班'!G134/60</ns0:f>
        <ns0:v>9.45</ns0:v>
      </ns0:c>
      <ns0:c r="F94" s="341" t="n">
        <ns0:f>MAX(0,INT(E94-8))</ns0:f>
        <ns0:v>1</ns0:v>
      </ns0:c>
      <ns0:c r="G94" s="341" t="n">
        <ns0:f>'逐日加班'!R134</ns0:f>
        <ns0:v>1</ns0:v>
      </ns0:c>
      <ns0:c r="H94" s="339" t="str">
        <ns0:f>'逐日加班'!N134</ns0:f>
        <ns0:v>/Users/a./Desktop/飞书考勤留存_2026-10-27/逐日原始打卡截图与汇总_2026-10-27/原始截图/2026-07-03_01_日历与上部.jpg</ns0:v>
      </ns0:c>
    </ns0:row>
    <ns0:row r="95" ht="35" customHeight="1">
      <ns0:c r="A95" s="339" t="str">
        <ns0:f>'逐日加班'!A135</ns0:f>
        <ns0:v>2026-07-06</ns0:v>
      </ns0:c>
      <ns0:c r="B95" s="339" t="str">
        <ns0:f>'逐日加班'!B135</ns0:f>
        <ns0:v>2026-07</ns0:v>
      </ns0:c>
      <ns0:c r="C95" s="339" t="str">
        <ns0:f>'逐日加班'!E135</ns0:f>
        <ns0:v>09:55</ns0:v>
      </ns0:c>
      <ns0:c r="D95" s="339" t="str">
        <ns0:f>'逐日加班'!F135</ns0:f>
        <ns0:v>20:03</ns0:v>
      </ns0:c>
      <ns0:c r="E95" s="341" t="n">
        <ns0:f>8+'逐日加班'!G135/60</ns0:f>
        <ns0:v>9.133333333333333</ns0:v>
      </ns0:c>
      <ns0:c r="F95" s="341" t="n">
        <ns0:f>MAX(0,INT(E95-8))</ns0:f>
        <ns0:v>1</ns0:v>
      </ns0:c>
      <ns0:c r="G95" s="341" t="n">
        <ns0:f>'逐日加班'!R135</ns0:f>
        <ns0:v>1</ns0:v>
      </ns0:c>
      <ns0:c r="H95" s="339" t="str">
        <ns0:f>'逐日加班'!N135</ns0:f>
        <ns0:v>/Users/a./Desktop/飞书考勤留存_2026-10-27/逐日原始打卡截图与汇总_2026-10-27/原始截图/2026-07-06_01_日历与上部.jpg</ns0:v>
      </ns0:c>
    </ns0:row>
    <ns0:row r="96" ht="35" customHeight="1">
      <ns0:c r="A96" s="339" t="str">
        <ns0:f>'逐日加班'!A137</ns0:f>
        <ns0:v>2026-07-08</ns0:v>
      </ns0:c>
      <ns0:c r="B96" s="339" t="str">
        <ns0:f>'逐日加班'!B137</ns0:f>
        <ns0:v>2026-07</ns0:v>
      </ns0:c>
      <ns0:c r="C96" s="339" t="str">
        <ns0:f>'逐日加班'!E137</ns0:f>
        <ns0:v>09:58</ns0:v>
      </ns0:c>
      <ns0:c r="D96" s="339" t="str">
        <ns0:f>'逐日加班'!F137</ns0:f>
        <ns0:v>20:22</ns0:v>
      </ns0:c>
      <ns0:c r="E96" s="341" t="n">
        <ns0:f>8+'逐日加班'!G137/60</ns0:f>
        <ns0:v>9.4</ns0:v>
      </ns0:c>
      <ns0:c r="F96" s="341" t="n">
        <ns0:f>MAX(0,INT(E96-8))</ns0:f>
        <ns0:v>1</ns0:v>
      </ns0:c>
      <ns0:c r="G96" s="341" t="n">
        <ns0:f>'逐日加班'!R137</ns0:f>
        <ns0:v>1</ns0:v>
      </ns0:c>
      <ns0:c r="H96" s="339" t="str">
        <ns0:f>'逐日加班'!N137</ns0:f>
        <ns0:v>/Users/a./Desktop/飞书考勤留存_2026-10-27/逐日原始打卡截图与汇总_2026-10-27/原始截图/2026-07-08_01_日历与上部.jpg</ns0:v>
      </ns0:c>
    </ns0:row>
    <ns0:row r="97" ht="35" customHeight="1">
      <ns0:c r="A97" s="339" t="str">
        <ns0:f>'逐日加班'!A140</ns0:f>
        <ns0:v>2026-07-13</ns0:v>
      </ns0:c>
      <ns0:c r="B97" s="339" t="str">
        <ns0:f>'逐日加班'!B140</ns0:f>
        <ns0:v>2026-07</ns0:v>
      </ns0:c>
      <ns0:c r="C97" s="339" t="str">
        <ns0:f>'逐日加班'!E140</ns0:f>
        <ns0:v>09:58</ns0:v>
      </ns0:c>
      <ns0:c r="D97" s="339" t="str">
        <ns0:f>'逐日加班'!F140</ns0:f>
        <ns0:v>20:23</ns0:v>
      </ns0:c>
      <ns0:c r="E97" s="341" t="n">
        <ns0:f>8+'逐日加班'!G140/60</ns0:f>
        <ns0:v>9.416666666666666</ns0:v>
      </ns0:c>
      <ns0:c r="F97" s="341" t="n">
        <ns0:f>MAX(0,INT(E97-8))</ns0:f>
        <ns0:v>1</ns0:v>
      </ns0:c>
      <ns0:c r="G97" s="341" t="n">
        <ns0:f>'逐日加班'!R140</ns0:f>
        <ns0:v>1</ns0:v>
      </ns0:c>
      <ns0:c r="H97" s="339" t="str">
        <ns0:f>'逐日加班'!N140</ns0:f>
        <ns0:v>/Users/a./Desktop/飞书考勤留存_2026-10-27/逐日原始打卡截图与汇总_2026-10-27/原始截图/2026-07-13_01_日历与上部.jpg</ns0:v>
      </ns0:c>
    </ns0:row>
    <ns0:row r="98" ht="35" customHeight="1">
      <ns0:c r="A98" s="339" t="str">
        <ns0:f>'逐日加班'!A142</ns0:f>
        <ns0:v>2026-07-15</ns0:v>
      </ns0:c>
      <ns0:c r="B98" s="339" t="str">
        <ns0:f>'逐日加班'!B142</ns0:f>
        <ns0:v>2026-07</ns0:v>
      </ns0:c>
      <ns0:c r="C98" s="339" t="str">
        <ns0:f>'逐日加班'!E142</ns0:f>
        <ns0:v>10:00</ns0:v>
      </ns0:c>
      <ns0:c r="D98" s="339" t="str">
        <ns0:f>'逐日加班'!F142</ns0:f>
        <ns0:v>20:08</ns0:v>
      </ns0:c>
      <ns0:c r="E98" s="341" t="n">
        <ns0:f>8+'逐日加班'!G142/60</ns0:f>
        <ns0:v>9.133333333333333</ns0:v>
      </ns0:c>
      <ns0:c r="F98" s="341" t="n">
        <ns0:f>MAX(0,INT(E98-8))</ns0:f>
        <ns0:v>1</ns0:v>
      </ns0:c>
      <ns0:c r="G98" s="341" t="n">
        <ns0:f>'逐日加班'!R142</ns0:f>
        <ns0:v>1</ns0:v>
      </ns0:c>
      <ns0:c r="H98" s="339" t="str">
        <ns0:f>'逐日加班'!N142</ns0:f>
        <ns0:v>/Users/a./Desktop/飞书考勤留存_2026-10-27/逐日原始打卡截图与汇总_2026-10-27/原始截图/2026-07-15_01_日历与上部.jpg</ns0:v>
      </ns0:c>
    </ns0:row>
    <ns0:row r="99" ht="35" customHeight="1">
      <ns0:c r="A99" s="339" t="str">
        <ns0:f>'逐日加班'!A143</ns0:f>
        <ns0:v>2026-07-16</ns0:v>
      </ns0:c>
      <ns0:c r="B99" s="339" t="str">
        <ns0:f>'逐日加班'!B143</ns0:f>
        <ns0:v>2026-07</ns0:v>
      </ns0:c>
      <ns0:c r="C99" s="339" t="str">
        <ns0:f>'逐日加班'!E143</ns0:f>
        <ns0:v>09:51</ns0:v>
      </ns0:c>
      <ns0:c r="D99" s="339" t="str">
        <ns0:f>'逐日加班'!F143</ns0:f>
        <ns0:v>19:52</ns0:v>
      </ns0:c>
      <ns0:c r="E99" s="341" t="n">
        <ns0:f>8+'逐日加班'!G143/60</ns0:f>
        <ns0:v>9.016666666666666</ns0:v>
      </ns0:c>
      <ns0:c r="F99" s="341" t="n">
        <ns0:f>MAX(0,INT(E99-8))</ns0:f>
        <ns0:v>1</ns0:v>
      </ns0:c>
      <ns0:c r="G99" s="341" t="n">
        <ns0:f>'逐日加班'!R143</ns0:f>
        <ns0:v>1</ns0:v>
      </ns0:c>
      <ns0:c r="H99" s="339" t="str">
        <ns0:f>'逐日加班'!N143</ns0:f>
        <ns0:v>/Users/a./Desktop/飞书考勤留存_2026-10-27/逐日原始打卡截图与汇总_2026-10-27/原始截图/2026-07-16_01_日历与上部.jpg</ns0:v>
      </ns0:c>
    </ns0:row>
    <ns0:row r="100" ht="35" customHeight="1">
      <ns0:c r="A100" s="339" t="str">
        <ns0:f>'逐日加班'!A145</ns0:f>
        <ns0:v>2026-07-20</ns0:v>
      </ns0:c>
      <ns0:c r="B100" s="339" t="str">
        <ns0:f>'逐日加班'!B145</ns0:f>
        <ns0:v>2026-07</ns0:v>
      </ns0:c>
      <ns0:c r="C100" s="339" t="str">
        <ns0:f>'逐日加班'!E145</ns0:f>
        <ns0:v>09:54</ns0:v>
      </ns0:c>
      <ns0:c r="D100" s="339" t="str">
        <ns0:f>'逐日加班'!F145</ns0:f>
        <ns0:v>20:01</ns0:v>
      </ns0:c>
      <ns0:c r="E100" s="341" t="n">
        <ns0:f>8+'逐日加班'!G145/60</ns0:f>
        <ns0:v>9.116666666666667</ns0:v>
      </ns0:c>
      <ns0:c r="F100" s="341" t="n">
        <ns0:f>MAX(0,INT(E100-8))</ns0:f>
        <ns0:v>1</ns0:v>
      </ns0:c>
      <ns0:c r="G100" s="341" t="n">
        <ns0:f>'逐日加班'!R145</ns0:f>
        <ns0:v>1</ns0:v>
      </ns0:c>
      <ns0:c r="H100" s="339" t="str">
        <ns0:f>'逐日加班'!N145</ns0:f>
        <ns0:v>/Users/a./Desktop/飞书考勤留存_2026-10-27/逐日原始打卡截图与汇总_2026-10-27/原始截图/2026-07-20_01_日历与上部.jpg</ns0:v>
      </ns0:c>
    </ns0:row>
    <ns0:row r="101" ht="35" customHeight="1">
      <ns0:c r="A101" s="339" t="str">
        <ns0:f>'逐日加班'!A146</ns0:f>
        <ns0:v>2026-07-21</ns0:v>
      </ns0:c>
      <ns0:c r="B101" s="339" t="str">
        <ns0:f>'逐日加班'!B146</ns0:f>
        <ns0:v>2026-07</ns0:v>
      </ns0:c>
      <ns0:c r="C101" s="339" t="str">
        <ns0:f>'逐日加班'!E146</ns0:f>
        <ns0:v>09:57</ns0:v>
      </ns0:c>
      <ns0:c r="D101" s="339" t="str">
        <ns0:f>'逐日加班'!F146</ns0:f>
        <ns0:v>20:09</ns0:v>
      </ns0:c>
      <ns0:c r="E101" s="341" t="n">
        <ns0:f>8+'逐日加班'!G146/60</ns0:f>
        <ns0:v>9.2</ns0:v>
      </ns0:c>
      <ns0:c r="F101" s="341" t="n">
        <ns0:f>MAX(0,INT(E101-8))</ns0:f>
        <ns0:v>1</ns0:v>
      </ns0:c>
      <ns0:c r="G101" s="341" t="n">
        <ns0:f>'逐日加班'!R146</ns0:f>
        <ns0:v>1</ns0:v>
      </ns0:c>
      <ns0:c r="H101" s="339" t="str">
        <ns0:f>'逐日加班'!N146</ns0:f>
        <ns0:v>/Users/a./Desktop/飞书考勤留存_2026-10-27/逐日原始打卡截图与汇总_2026-10-27/原始截图/2026-07-21_01_日历与上部.jpg</ns0:v>
      </ns0:c>
    </ns0:row>
    <ns0:row r="102" ht="35" customHeight="1">
      <ns0:c r="A102" s="339" t="str">
        <ns0:f>'逐日加班'!A147</ns0:f>
        <ns0:v>2026-07-22</ns0:v>
      </ns0:c>
      <ns0:c r="B102" s="339" t="str">
        <ns0:f>'逐日加班'!B147</ns0:f>
        <ns0:v>2026-07</ns0:v>
      </ns0:c>
      <ns0:c r="C102" s="339" t="str">
        <ns0:f>'逐日加班'!E147</ns0:f>
        <ns0:v>09:57</ns0:v>
      </ns0:c>
      <ns0:c r="D102" s="339" t="str">
        <ns0:f>'逐日加班'!F147</ns0:f>
        <ns0:v>20:08</ns0:v>
      </ns0:c>
      <ns0:c r="E102" s="341" t="n">
        <ns0:f>8+'逐日加班'!G147/60</ns0:f>
        <ns0:v>9.183333333333334</ns0:v>
      </ns0:c>
      <ns0:c r="F102" s="341" t="n">
        <ns0:f>MAX(0,INT(E102-8))</ns0:f>
        <ns0:v>1</ns0:v>
      </ns0:c>
      <ns0:c r="G102" s="341" t="n">
        <ns0:f>'逐日加班'!R147</ns0:f>
        <ns0:v>1</ns0:v>
      </ns0:c>
      <ns0:c r="H102" s="339" t="str">
        <ns0:f>'逐日加班'!N147</ns0:f>
        <ns0:v>/Users/a./Desktop/飞书考勤留存_2026-10-27/逐日原始打卡截图与汇总_2026-10-27/原始截图/2026-07-22_01_日历与上部.jpg</ns0:v>
      </ns0:c>
    </ns0:row>
    <ns0:row r="103" ht="35" customHeight="1">
      <ns0:c r="A103" s="339" t="str">
        <ns0:f>'逐日加班'!A148</ns0:f>
        <ns0:v>2026-07-23</ns0:v>
      </ns0:c>
      <ns0:c r="B103" s="339" t="str">
        <ns0:f>'逐日加班'!B148</ns0:f>
        <ns0:v>2026-07</ns0:v>
      </ns0:c>
      <ns0:c r="C103" s="339" t="str">
        <ns0:f>'逐日加班'!E148</ns0:f>
        <ns0:v>09:57</ns0:v>
      </ns0:c>
      <ns0:c r="D103" s="339" t="str">
        <ns0:f>'逐日加班'!F148</ns0:f>
        <ns0:v>20:00</ns0:v>
      </ns0:c>
      <ns0:c r="E103" s="341" t="n">
        <ns0:f>8+'逐日加班'!G148/60</ns0:f>
        <ns0:v>9.05</ns0:v>
      </ns0:c>
      <ns0:c r="F103" s="341" t="n">
        <ns0:f>MAX(0,INT(E103-8))</ns0:f>
        <ns0:v>1</ns0:v>
      </ns0:c>
      <ns0:c r="G103" s="341" t="n">
        <ns0:f>'逐日加班'!R148</ns0:f>
        <ns0:v>1</ns0:v>
      </ns0:c>
      <ns0:c r="H103" s="339" t="str">
        <ns0:f>'逐日加班'!N148</ns0:f>
        <ns0:v>/Users/a./Desktop/飞书考勤留存_2026-10-27/逐日原始打卡截图与汇总_2026-10-27/原始截图/2026-07-23_01_日历与上部.jpg</ns0:v>
      </ns0:c>
    </ns0:row>
    <ns0:row r="104" ht="35" customHeight="1">
      <ns0:c r="A104" s="339" t="str">
        <ns0:f>'逐日加班'!A149</ns0:f>
        <ns0:v>2026-07-24</ns0:v>
      </ns0:c>
      <ns0:c r="B104" s="339" t="str">
        <ns0:f>'逐日加班'!B149</ns0:f>
        <ns0:v>2026-07</ns0:v>
      </ns0:c>
      <ns0:c r="C104" s="339" t="str">
        <ns0:f>'逐日加班'!E149</ns0:f>
        <ns0:v>09:56</ns0:v>
      </ns0:c>
      <ns0:c r="D104" s="339" t="str">
        <ns0:f>'逐日加班'!F149</ns0:f>
        <ns0:v>19:56</ns0:v>
      </ns0:c>
      <ns0:c r="E104" s="341" t="n">
        <ns0:f>8+'逐日加班'!G149/60</ns0:f>
        <ns0:v>9</ns0:v>
      </ns0:c>
      <ns0:c r="F104" s="341" t="n">
        <ns0:f>MAX(0,INT(E104-8))</ns0:f>
        <ns0:v>1</ns0:v>
      </ns0:c>
      <ns0:c r="G104" s="341" t="n">
        <ns0:f>'逐日加班'!R149</ns0:f>
        <ns0:v>1</ns0:v>
      </ns0:c>
      <ns0:c r="H104" s="339" t="str">
        <ns0:f>'逐日加班'!N149</ns0:f>
        <ns0:v>/Users/a./Desktop/飞书考勤留存_2026-10-27/逐日原始打卡截图与汇总_2026-10-27/原始截图/2026-07-24_01_日历与上部.jpg</ns0:v>
      </ns0:c>
    </ns0:row>
    <ns0:row r="105" ht="35" customHeight="1">
      <ns0:c r="A105" s="339" t="str">
        <ns0:f>'逐日加班'!A152</ns0:f>
        <ns0:v>2026-07-28</ns0:v>
      </ns0:c>
      <ns0:c r="B105" s="339" t="str">
        <ns0:f>'逐日加班'!B152</ns0:f>
        <ns0:v>2026-07</ns0:v>
      </ns0:c>
      <ns0:c r="C105" s="339" t="str">
        <ns0:f>'逐日加班'!E152</ns0:f>
        <ns0:v>09:57</ns0:v>
      </ns0:c>
      <ns0:c r="D105" s="339" t="str">
        <ns0:f>'逐日加班'!F152</ns0:f>
        <ns0:v>20:02</ns0:v>
      </ns0:c>
      <ns0:c r="E105" s="341" t="n">
        <ns0:f>8+'逐日加班'!G152/60</ns0:f>
        <ns0:v>9.083333333333334</ns0:v>
      </ns0:c>
      <ns0:c r="F105" s="341" t="n">
        <ns0:f>MAX(0,INT(E105-8))</ns0:f>
        <ns0:v>1</ns0:v>
      </ns0:c>
      <ns0:c r="G105" s="341" t="n">
        <ns0:f>'逐日加班'!R152</ns0:f>
        <ns0:v>1</ns0:v>
      </ns0:c>
      <ns0:c r="H105" s="339" t="str">
        <ns0:f>'逐日加班'!N152</ns0:f>
        <ns0:v>/Users/a./Desktop/飞书考勤留存_2026-10-27/逐日原始打卡截图与汇总_2026-10-27/原始截图/2026-07-28_01_日历与上部.jpg</ns0:v>
      </ns0:c>
    </ns0:row>
    <ns0:row r="106" ht="35" customHeight="1">
      <ns0:c r="A106" s="339" t="str">
        <ns0:f>'逐日加班'!A154</ns0:f>
        <ns0:v>2026-07-30</ns0:v>
      </ns0:c>
      <ns0:c r="B106" s="339" t="str">
        <ns0:f>'逐日加班'!B154</ns0:f>
        <ns0:v>2026-07</ns0:v>
      </ns0:c>
      <ns0:c r="C106" s="339" t="str">
        <ns0:f>'逐日加班'!E154</ns0:f>
        <ns0:v>09:56</ns0:v>
      </ns0:c>
      <ns0:c r="D106" s="339" t="str">
        <ns0:f>'逐日加班'!F154</ns0:f>
        <ns0:v>19:57</ns0:v>
      </ns0:c>
      <ns0:c r="E106" s="341" t="n">
        <ns0:f>8+'逐日加班'!G154/60</ns0:f>
        <ns0:v>9.016666666666666</ns0:v>
      </ns0:c>
      <ns0:c r="F106" s="341" t="n">
        <ns0:f>MAX(0,INT(E106-8))</ns0:f>
        <ns0:v>1</ns0:v>
      </ns0:c>
      <ns0:c r="G106" s="341" t="n">
        <ns0:f>'逐日加班'!R154</ns0:f>
        <ns0:v>1</ns0:v>
      </ns0:c>
      <ns0:c r="H106" s="339" t="str">
        <ns0:f>'逐日加班'!N154</ns0:f>
        <ns0:v>/Users/a./Desktop/飞书考勤留存_2026-10-27/逐日原始打卡截图与汇总_2026-10-27/原始截图/2026-07-30_01_日历与上部.jpg</ns0:v>
      </ns0:c>
    </ns0:row>
    <ns0:row r="107" ht="35" customHeight="1">
      <ns0:c r="A107" s="339" t="str">
        <ns0:f>'逐日加班'!A156</ns0:f>
        <ns0:v>2026-08-03</ns0:v>
      </ns0:c>
      <ns0:c r="B107" s="339" t="str">
        <ns0:f>'逐日加班'!B156</ns0:f>
        <ns0:v>2026-08</ns0:v>
      </ns0:c>
      <ns0:c r="C107" s="339" t="str">
        <ns0:f>'逐日加班'!E156</ns0:f>
        <ns0:v>09:55</ns0:v>
      </ns0:c>
      <ns0:c r="D107" s="339" t="str">
        <ns0:f>'逐日加班'!F156</ns0:f>
        <ns0:v>20:00</ns0:v>
      </ns0:c>
      <ns0:c r="E107" s="341" t="n">
        <ns0:f>8+'逐日加班'!G156/60</ns0:f>
        <ns0:v>9.083333333333334</ns0:v>
      </ns0:c>
      <ns0:c r="F107" s="341" t="n">
        <ns0:f>MAX(0,INT(E107-8))</ns0:f>
        <ns0:v>1</ns0:v>
      </ns0:c>
      <ns0:c r="G107" s="341" t="n">
        <ns0:f>'逐日加班'!R156</ns0:f>
        <ns0:v>1</ns0:v>
      </ns0:c>
      <ns0:c r="H107" s="339" t="str">
        <ns0:f>'逐日加班'!N156</ns0:f>
        <ns0:v>/Users/a./Desktop/飞书考勤留存_2026-10-27/逐日原始打卡截图与汇总_2026-10-27/原始截图/2026-08-03_01_日历与上部.jpg</ns0:v>
      </ns0:c>
    </ns0:row>
    <ns0:row r="108" ht="35" customHeight="1">
      <ns0:c r="A108" s="339" t="str">
        <ns0:f>'逐日加班'!A157</ns0:f>
        <ns0:v>2026-08-04</ns0:v>
      </ns0:c>
      <ns0:c r="B108" s="339" t="str">
        <ns0:f>'逐日加班'!B157</ns0:f>
        <ns0:v>2026-08</ns0:v>
      </ns0:c>
      <ns0:c r="C108" s="339" t="str">
        <ns0:f>'逐日加班'!E157</ns0:f>
        <ns0:v>10:00</ns0:v>
      </ns0:c>
      <ns0:c r="D108" s="339" t="str">
        <ns0:f>'逐日加班'!F157</ns0:f>
        <ns0:v>20:00</ns0:v>
      </ns0:c>
      <ns0:c r="E108" s="341" t="n">
        <ns0:f>8+'逐日加班'!G157/60</ns0:f>
        <ns0:v>9</ns0:v>
      </ns0:c>
      <ns0:c r="F108" s="341" t="n">
        <ns0:f>MAX(0,INT(E108-8))</ns0:f>
        <ns0:v>1</ns0:v>
      </ns0:c>
      <ns0:c r="G108" s="341" t="n">
        <ns0:f>'逐日加班'!R157</ns0:f>
        <ns0:v>1</ns0:v>
      </ns0:c>
      <ns0:c r="H108" s="339" t="str">
        <ns0:f>'逐日加班'!N157</ns0:f>
        <ns0:v>/Users/a./Desktop/飞书考勤留存_2026-10-27/逐日原始打卡截图与汇总_2026-10-27/原始截图/2026-08-04_01_日历与上部.jpg</ns0:v>
      </ns0:c>
    </ns0:row>
    <ns0:row r="109" ht="35" customHeight="1">
      <ns0:c r="A109" s="339" t="str">
        <ns0:f>'逐日加班'!A162</ns0:f>
        <ns0:v>2026-08-10</ns0:v>
      </ns0:c>
      <ns0:c r="B109" s="339" t="str">
        <ns0:f>'逐日加班'!B162</ns0:f>
        <ns0:v>2026-08</ns0:v>
      </ns0:c>
      <ns0:c r="C109" s="339" t="str">
        <ns0:f>'逐日加班'!E162</ns0:f>
        <ns0:v>09:48</ns0:v>
      </ns0:c>
      <ns0:c r="D109" s="339" t="str">
        <ns0:f>'逐日加班'!F162</ns0:f>
        <ns0:v>19:59</ns0:v>
      </ns0:c>
      <ns0:c r="E109" s="341" t="n">
        <ns0:f>8+'逐日加班'!G162/60</ns0:f>
        <ns0:v>9.183333333333334</ns0:v>
      </ns0:c>
      <ns0:c r="F109" s="341" t="n">
        <ns0:f>MAX(0,INT(E109-8))</ns0:f>
        <ns0:v>1</ns0:v>
      </ns0:c>
      <ns0:c r="G109" s="341" t="n">
        <ns0:f>'逐日加班'!R162</ns0:f>
        <ns0:v>1</ns0:v>
      </ns0:c>
      <ns0:c r="H109" s="339" t="str">
        <ns0:f>'逐日加班'!N162</ns0:f>
        <ns0:v>/Users/a./Desktop/飞书考勤留存_2026-10-27/逐日原始打卡截图与汇总_2026-10-27/原始截图/2026-08-10_01_日历与上部.jpg</ns0:v>
      </ns0:c>
    </ns0:row>
    <ns0:row r="110" ht="35" customHeight="1">
      <ns0:c r="A110" s="339" t="str">
        <ns0:f>'逐日加班'!A164</ns0:f>
        <ns0:v>2026-08-12</ns0:v>
      </ns0:c>
      <ns0:c r="B110" s="339" t="str">
        <ns0:f>'逐日加班'!B164</ns0:f>
        <ns0:v>2026-08</ns0:v>
      </ns0:c>
      <ns0:c r="C110" s="339" t="str">
        <ns0:f>'逐日加班'!E164</ns0:f>
        <ns0:v>09:59</ns0:v>
      </ns0:c>
      <ns0:c r="D110" s="339" t="str">
        <ns0:f>'逐日加班'!F164</ns0:f>
        <ns0:v>20:27</ns0:v>
      </ns0:c>
      <ns0:c r="E110" s="341" t="n">
        <ns0:f>8+'逐日加班'!G164/60</ns0:f>
        <ns0:v>9.466666666666667</ns0:v>
      </ns0:c>
      <ns0:c r="F110" s="341" t="n">
        <ns0:f>MAX(0,INT(E110-8))</ns0:f>
        <ns0:v>1</ns0:v>
      </ns0:c>
      <ns0:c r="G110" s="341" t="n">
        <ns0:f>'逐日加班'!R164</ns0:f>
        <ns0:v>1</ns0:v>
      </ns0:c>
      <ns0:c r="H110" s="339" t="str">
        <ns0:f>'逐日加班'!N164</ns0:f>
        <ns0:v>/Users/a./Desktop/飞书考勤留存_2026-10-27/逐日原始打卡截图与汇总_2026-10-27/原始截图/2026-08-12_01_日历与上部.jpg</ns0:v>
      </ns0:c>
    </ns0:row>
    <ns0:row r="111" ht="35" customHeight="1">
      <ns0:c r="A111" s="339" t="str">
        <ns0:f>'逐日加班'!A165</ns0:f>
        <ns0:v>2026-08-13</ns0:v>
      </ns0:c>
      <ns0:c r="B111" s="339" t="str">
        <ns0:f>'逐日加班'!B165</ns0:f>
        <ns0:v>2026-08</ns0:v>
      </ns0:c>
      <ns0:c r="C111" s="339" t="str">
        <ns0:f>'逐日加班'!E165</ns0:f>
        <ns0:v>09:57</ns0:v>
      </ns0:c>
      <ns0:c r="D111" s="339" t="str">
        <ns0:f>'逐日加班'!F165</ns0:f>
        <ns0:v>20:06</ns0:v>
      </ns0:c>
      <ns0:c r="E111" s="341" t="n">
        <ns0:f>8+'逐日加班'!G165/60</ns0:f>
        <ns0:v>9.15</ns0:v>
      </ns0:c>
      <ns0:c r="F111" s="341" t="n">
        <ns0:f>MAX(0,INT(E111-8))</ns0:f>
        <ns0:v>1</ns0:v>
      </ns0:c>
      <ns0:c r="G111" s="341" t="n">
        <ns0:f>'逐日加班'!R165</ns0:f>
        <ns0:v>1</ns0:v>
      </ns0:c>
      <ns0:c r="H111" s="339" t="str">
        <ns0:f>'逐日加班'!N165</ns0:f>
        <ns0:v>/Users/a./Desktop/飞书考勤留存_2026-10-27/逐日原始打卡截图与汇总_2026-10-27/原始截图/2026-08-13_01_日历与上部.jpg</ns0:v>
      </ns0:c>
    </ns0:row>
    <ns0:row r="112" ht="35" customHeight="1">
      <ns0:c r="A112" s="339" t="str">
        <ns0:f>'逐日加班'!A167</ns0:f>
        <ns0:v>2026-08-17</ns0:v>
      </ns0:c>
      <ns0:c r="B112" s="339" t="str">
        <ns0:f>'逐日加班'!B167</ns0:f>
        <ns0:v>2026-08</ns0:v>
      </ns0:c>
      <ns0:c r="C112" s="339" t="str">
        <ns0:f>'逐日加班'!E167</ns0:f>
        <ns0:v>09:54</ns0:v>
      </ns0:c>
      <ns0:c r="D112" s="339" t="str">
        <ns0:f>'逐日加班'!F167</ns0:f>
        <ns0:v>19:56</ns0:v>
      </ns0:c>
      <ns0:c r="E112" s="341" t="n">
        <ns0:f>8+'逐日加班'!G167/60</ns0:f>
        <ns0:v>9.033333333333333</ns0:v>
      </ns0:c>
      <ns0:c r="F112" s="341" t="n">
        <ns0:f>MAX(0,INT(E112-8))</ns0:f>
        <ns0:v>1</ns0:v>
      </ns0:c>
      <ns0:c r="G112" s="341" t="n">
        <ns0:f>'逐日加班'!R167</ns0:f>
        <ns0:v>1</ns0:v>
      </ns0:c>
      <ns0:c r="H112" s="339" t="str">
        <ns0:f>'逐日加班'!N167</ns0:f>
        <ns0:v>/Users/a./Desktop/飞书考勤留存_2026-10-27/逐日原始打卡截图与汇总_2026-10-27/原始截图/2026-08-17_01_日历与上部.jpg</ns0:v>
      </ns0:c>
    </ns0:row>
    <ns0:row r="113" ht="35" customHeight="1">
      <ns0:c r="A113" s="339" t="str">
        <ns0:f>'逐日加班'!A168</ns0:f>
        <ns0:v>2026-08-18</ns0:v>
      </ns0:c>
      <ns0:c r="B113" s="339" t="str">
        <ns0:f>'逐日加班'!B168</ns0:f>
        <ns0:v>2026-08</ns0:v>
      </ns0:c>
      <ns0:c r="C113" s="339" t="str">
        <ns0:f>'逐日加班'!E168</ns0:f>
        <ns0:v>09:57</ns0:v>
      </ns0:c>
      <ns0:c r="D113" s="339" t="str">
        <ns0:f>'逐日加班'!F168</ns0:f>
        <ns0:v>19:58</ns0:v>
      </ns0:c>
      <ns0:c r="E113" s="341" t="n">
        <ns0:f>8+'逐日加班'!G168/60</ns0:f>
        <ns0:v>9.016666666666666</ns0:v>
      </ns0:c>
      <ns0:c r="F113" s="341" t="n">
        <ns0:f>MAX(0,INT(E113-8))</ns0:f>
        <ns0:v>1</ns0:v>
      </ns0:c>
      <ns0:c r="G113" s="341" t="n">
        <ns0:f>'逐日加班'!R168</ns0:f>
        <ns0:v>1</ns0:v>
      </ns0:c>
      <ns0:c r="H113" s="339" t="str">
        <ns0:f>'逐日加班'!N168</ns0:f>
        <ns0:v>/Users/a./Desktop/飞书考勤留存_2026-10-27/逐日原始打卡截图与汇总_2026-10-27/原始截图/2026-08-18_01_日历与上部.jpg</ns0:v>
      </ns0:c>
    </ns0:row>
    <ns0:row r="114" ht="35" customHeight="1">
      <ns0:c r="A114" s="339" t="str">
        <ns0:f>'逐日加班'!A170</ns0:f>
        <ns0:v>2026-08-20</ns0:v>
      </ns0:c>
      <ns0:c r="B114" s="339" t="str">
        <ns0:f>'逐日加班'!B170</ns0:f>
        <ns0:v>2026-08</ns0:v>
      </ns0:c>
      <ns0:c r="C114" s="339" t="str">
        <ns0:f>'逐日加班'!E170</ns0:f>
        <ns0:v>09:52</ns0:v>
      </ns0:c>
      <ns0:c r="D114" s="339" t="str">
        <ns0:f>'逐日加班'!F170</ns0:f>
        <ns0:v>19:52</ns0:v>
      </ns0:c>
      <ns0:c r="E114" s="341" t="n">
        <ns0:f>8+'逐日加班'!G170/60</ns0:f>
        <ns0:v>9</ns0:v>
      </ns0:c>
      <ns0:c r="F114" s="341" t="n">
        <ns0:f>MAX(0,INT(E114-8))</ns0:f>
        <ns0:v>1</ns0:v>
      </ns0:c>
      <ns0:c r="G114" s="341" t="n">
        <ns0:f>'逐日加班'!R170</ns0:f>
        <ns0:v>1</ns0:v>
      </ns0:c>
      <ns0:c r="H114" s="339" t="str">
        <ns0:f>'逐日加班'!N170</ns0:f>
        <ns0:v>/Users/a./Desktop/飞书考勤留存_2026-10-27/逐日原始打卡截图与汇总_2026-10-27/原始截图/2026-08-20_01_日历与上部.jpg</ns0:v>
      </ns0:c>
    </ns0:row>
    <ns0:row r="115" ht="35" customHeight="1">
      <ns0:c r="A115" s="339" t="str">
        <ns0:f>'逐日加班'!A172</ns0:f>
        <ns0:v>2026-08-24</ns0:v>
      </ns0:c>
      <ns0:c r="B115" s="339" t="str">
        <ns0:f>'逐日加班'!B172</ns0:f>
        <ns0:v>2026-08</ns0:v>
      </ns0:c>
      <ns0:c r="C115" s="339" t="str">
        <ns0:f>'逐日加班'!E172</ns0:f>
        <ns0:v>09:53</ns0:v>
      </ns0:c>
      <ns0:c r="D115" s="339" t="str">
        <ns0:f>'逐日加班'!F172</ns0:f>
        <ns0:v>19:54</ns0:v>
      </ns0:c>
      <ns0:c r="E115" s="341" t="n">
        <ns0:f>8+'逐日加班'!G172/60</ns0:f>
        <ns0:v>9.016666666666666</ns0:v>
      </ns0:c>
      <ns0:c r="F115" s="341" t="n">
        <ns0:f>MAX(0,INT(E115-8))</ns0:f>
        <ns0:v>1</ns0:v>
      </ns0:c>
      <ns0:c r="G115" s="341" t="n">
        <ns0:f>'逐日加班'!R172</ns0:f>
        <ns0:v>1</ns0:v>
      </ns0:c>
      <ns0:c r="H115" s="339" t="str">
        <ns0:f>'逐日加班'!N172</ns0:f>
        <ns0:v>/Users/a./Desktop/飞书考勤留存_2026-10-27/逐日原始打卡截图与汇总_2026-10-27/原始截图/2026-08-24_01_日历与上部.jpg</ns0:v>
      </ns0:c>
    </ns0:row>
    <ns0:row r="116" ht="35" customHeight="1">
      <ns0:c r="A116" s="339" t="str">
        <ns0:f>'逐日加班'!A173</ns0:f>
        <ns0:v>2026-08-25</ns0:v>
      </ns0:c>
      <ns0:c r="B116" s="339" t="str">
        <ns0:f>'逐日加班'!B173</ns0:f>
        <ns0:v>2026-08</ns0:v>
      </ns0:c>
      <ns0:c r="C116" s="339" t="str">
        <ns0:f>'逐日加班'!E173</ns0:f>
        <ns0:v>09:54</ns0:v>
      </ns0:c>
      <ns0:c r="D116" s="339" t="str">
        <ns0:f>'逐日加班'!F173</ns0:f>
        <ns0:v>20:06</ns0:v>
      </ns0:c>
      <ns0:c r="E116" s="341" t="n">
        <ns0:f>8+'逐日加班'!G173/60</ns0:f>
        <ns0:v>9.2</ns0:v>
      </ns0:c>
      <ns0:c r="F116" s="341" t="n">
        <ns0:f>MAX(0,INT(E116-8))</ns0:f>
        <ns0:v>1</ns0:v>
      </ns0:c>
      <ns0:c r="G116" s="341" t="n">
        <ns0:f>'逐日加班'!R173</ns0:f>
        <ns0:v>1</ns0:v>
      </ns0:c>
      <ns0:c r="H116" s="339" t="str">
        <ns0:f>'逐日加班'!N173</ns0:f>
        <ns0:v>/Users/a./Desktop/飞书考勤留存_2026-10-27/逐日原始打卡截图与汇总_2026-10-27/原始截图/2026-08-25_01_日历与上部.jpg</ns0:v>
      </ns0:c>
    </ns0:row>
    <ns0:row r="117" ht="35" customHeight="1">
      <ns0:c r="A117" s="339" t="str">
        <ns0:f>'逐日加班'!A195</ns0:f>
        <ns0:v>2026-10-08</ns0:v>
      </ns0:c>
      <ns0:c r="B117" s="339" t="str">
        <ns0:f>'逐日加班'!B195</ns0:f>
        <ns0:v>2026-10</ns0:v>
      </ns0:c>
      <ns0:c r="C117" s="339" t="str">
        <ns0:f>'逐日加班'!E195</ns0:f>
        <ns0:v>09:50</ns0:v>
      </ns0:c>
      <ns0:c r="D117" s="339" t="str">
        <ns0:f>'逐日加班'!F195</ns0:f>
        <ns0:v>20:35</ns0:v>
      </ns0:c>
      <ns0:c r="E117" s="341" t="n">
        <ns0:f>8+'逐日加班'!G195/60</ns0:f>
        <ns0:v>9.75</ns0:v>
      </ns0:c>
      <ns0:c r="F117" s="341" t="n">
        <ns0:f>MAX(0,INT(E117-8))</ns0:f>
        <ns0:v>1</ns0:v>
      </ns0:c>
      <ns0:c r="G117" s="341" t="n">
        <ns0:v>0</ns0:v>
      </ns0:c>
      <ns0:c r="H117" s="339" t="str">
        <ns0:f>'逐日加班'!N195</ns0:f>
        <ns0:v>/Users/a./Desktop/飞书考勤留存_2026-10-27/逐日原始打卡截图与汇总_2026-10-27/原始截图/2026-10-08_0057_日历与明细上部.jpg</ns0:v>
      </ns0:c>
    </ns0:row>
    <ns0:row r="118" ht="35" customHeight="1">
      <ns0:c r="A118" s="339" t="str">
        <ns0:f>'逐日加班'!A196</ns0:f>
        <ns0:v>2026-10-09</ns0:v>
      </ns0:c>
      <ns0:c r="B118" s="339" t="str">
        <ns0:f>'逐日加班'!B196</ns0:f>
        <ns0:v>2026-10</ns0:v>
      </ns0:c>
      <ns0:c r="C118" s="339" t="str">
        <ns0:f>'逐日加班'!E196</ns0:f>
        <ns0:v>09:56</ns0:v>
      </ns0:c>
      <ns0:c r="D118" s="339" t="str">
        <ns0:f>'逐日加班'!F196</ns0:f>
        <ns0:v>20:09</ns0:v>
      </ns0:c>
      <ns0:c r="E118" s="341" t="n">
        <ns0:f>8+'逐日加班'!G196/60</ns0:f>
        <ns0:v>9.216666666666667</ns0:v>
      </ns0:c>
      <ns0:c r="F118" s="341" t="n">
        <ns0:f>MAX(0,INT(E118-8))</ns0:f>
        <ns0:v>1</ns0:v>
      </ns0:c>
      <ns0:c r="G118" s="341" t="n">
        <ns0:v>0</ns0:v>
      </ns0:c>
      <ns0:c r="H118" s="339" t="str">
        <ns0:f>'逐日加班'!N196</ns0:f>
        <ns0:v>/Users/a./Desktop/飞书考勤留存_2026-10-27/逐日原始打卡截图与汇总_2026-10-27/原始截图/2026-10-09_0053_日历与明细上部.jpg</ns0:v>
      </ns0:c>
    </ns0:row>
    <ns0:row r="119" ht="35" customHeight="1">
      <ns0:c r="A119" s="339" t="str">
        <ns0:f>'逐日加班'!A197</ns0:f>
        <ns0:v>2026-10-10</ns0:v>
      </ns0:c>
      <ns0:c r="B119" s="339" t="str">
        <ns0:f>'逐日加班'!B197</ns0:f>
        <ns0:v>2026-10</ns0:v>
      </ns0:c>
      <ns0:c r="C119" s="339" t="str">
        <ns0:f>'逐日加班'!E197</ns0:f>
        <ns0:v>09:50</ns0:v>
      </ns0:c>
      <ns0:c r="D119" s="339" t="str">
        <ns0:f>'逐日加班'!F197</ns0:f>
        <ns0:v>19:53</ns0:v>
      </ns0:c>
      <ns0:c r="E119" s="341" t="n">
        <ns0:f>8+'逐日加班'!G197/60</ns0:f>
        <ns0:v>9.05</ns0:v>
      </ns0:c>
      <ns0:c r="F119" s="341" t="n">
        <ns0:f>MAX(0,INT(E119-8))</ns0:f>
        <ns0:v>1</ns0:v>
      </ns0:c>
      <ns0:c r="G119" s="341" t="n">
        <ns0:v>0</ns0:v>
      </ns0:c>
      <ns0:c r="H119" s="339" t="str">
        <ns0:f>'逐日加班'!N197</ns0:f>
        <ns0:v>/Users/a./Desktop/飞书考勤留存_2026-10-27/逐日原始打卡截图与汇总_2026-10-27/原始截图/2026-10-10_0050_日历与明细上部.jpg</ns0:v>
      </ns0:c>
    </ns0:row>
    <ns0:row r="120" ht="35" customHeight="1">
      <ns0:c r="A120" s="339" t="str">
        <ns0:f>'逐日加班'!A206</ns0:f>
        <ns0:v>2026-10-21</ns0:v>
      </ns0:c>
      <ns0:c r="B120" s="339" t="str">
        <ns0:f>'逐日加班'!B206</ns0:f>
        <ns0:v>2026-10</ns0:v>
      </ns0:c>
      <ns0:c r="C120" s="339" t="str">
        <ns0:f>'逐日加班'!E206</ns0:f>
        <ns0:v>09:57</ns0:v>
      </ns0:c>
      <ns0:c r="D120" s="339" t="str">
        <ns0:f>'逐日加班'!F206</ns0:f>
        <ns0:v>20:05</ns0:v>
      </ns0:c>
      <ns0:c r="E120" s="341" t="n">
        <ns0:f>8+'逐日加班'!G206/60</ns0:f>
        <ns0:v>9.133333333333333</ns0:v>
      </ns0:c>
      <ns0:c r="F120" s="341" t="n">
        <ns0:f>MAX(0,INT(E120-8))</ns0:f>
        <ns0:v>1</ns0:v>
      </ns0:c>
      <ns0:c r="G120" s="341" t="n">
        <ns0:v>0</ns0:v>
      </ns0:c>
      <ns0:c r="H120" s="339" t="str">
        <ns0:f>'逐日加班'!N206</ns0:f>
        <ns0:v>/Users/a./Desktop/飞书考勤留存_2026-10-27/逐日原始打卡截图与汇总_2026-10-27/原始截图/2026-10-21_0019_日历与明细上部.jpg</ns0:v>
      </ns0:c>
    </ns0:row>
  </ns0:sheetData>
  <ns0:pageMargins left="0.7" right="0.7" top="0.75" bottom="0.75" header="0.3" footer="0.3"/>
</ns0:worksheet>
</file>

<file path=xl/worksheets/sheet7.xml><?xml version="1.0" encoding="utf-8"?>
<ns0:worksheet xmlns:ns0="http://schemas.openxmlformats.org/spreadsheetml/2006/main">
  <ns0:sheetPr>
    <ns0:tabColor rgb="FF17365D"/>
  </ns0:sheetPr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22" hidden="0" customWidth="1"/>
    <ns0:col min="2" max="2" width="23" hidden="0" customWidth="1"/>
    <ns0:col min="3" max="3" width="19" hidden="0" customWidth="1"/>
    <ns0:col min="4" max="4" width="21" hidden="0" customWidth="1"/>
    <ns0:col min="5" max="5" width="72" hidden="0" customWidth="1"/>
    <ns0:col min="6" max="6" width="62" hidden="0" customWidth="1"/>
    <ns0:col min="7" max="7" width="86" hidden="0" customWidth="1"/>
  </ns0:cols>
  <ns0:sheetData>
    <ns0:row r="1" ht="38" customHeight="1">
      <ns0:c r="A1" s="299" t="str">
        <ns0:v>单双休逐周工作日核算</ns0:v>
      </ns0:c>
      <ns0:c r="B1" s="299"/>
      <ns0:c r="C1" s="299"/>
      <ns0:c r="D1" s="299"/>
      <ns0:c r="E1" s="299"/>
      <ns0:c r="F1"/>
      <ns0:c r="G1"/>
    </ns0:row>
    <ns0:row r="2" ht="30" customHeight="1">
      <ns0:c r="A2" s="205" t="str">
        <ns0:v>统一月平均工资基数</ns0:v>
      </ns0:c>
      <ns0:c r="B2" s="225" t="n">
        <ns0:f>'核算总览'!B3</ns0:f>
        <ns0:v>24359.178888888888</ns0:v>
      </ns0:c>
      <ns0:c r="C2" s="205"/>
      <ns0:c r="D2" s="205"/>
      <ns0:c r="E2" s="205"/>
      <ns0:c r="F2"/>
      <ns0:c r="G2"/>
    </ns0:row>
    <ns0:row r="3" ht="34" customHeight="1">
      <ns0:c r="A3" s="331" t="str">
        <ns0:v>月份</ns0:v>
      </ns0:c>
      <ns0:c r="B3" s="331" t="str">
        <ns0:v>多出工作日</ns0:v>
      </ns0:c>
      <ns0:c r="C3" s="331" t="str">
        <ns0:v>折算小时</ns0:v>
      </ns0:c>
      <ns0:c r="D3" s="331" t="str">
        <ns0:v>加班金额</ns0:v>
      </ns0:c>
      <ns0:c r="E3" s="331" t="str">
        <ns0:v>计算说明</ns0:v>
      </ns0:c>
      <ns0:c r="F3" s="331" t="str">
        <ns0:v>计费周数</ns0:v>
      </ns0:c>
      <ns0:c r="G3" s="331" t="str">
        <ns0:v>原始证据</ns0:v>
      </ns0:c>
    </ns0:row>
    <ns0:row r="4" ht="70" customHeight="1">
      <ns0:c r="A4" s="205" t="str">
        <ns0:v>2025-12</ns0:v>
      </ns0:c>
      <ns0:c r="B4" s="310" t="n">
        <ns0:f>C4/8</ns0:f>
        <ns0:v>1</ns0:v>
      </ns0:c>
      <ns0:c r="C4" s="310" t="n">
        <ns0:f>SUM(D20,D21)</ns0:f>
        <ns0:v>8</ns0:v>
      </ns0:c>
      <ns0:c r="D4" s="225" t="n">
        <ns0:f>SUM(E20,E21)</ns0:f>
        <ns0:v>2239.92</ns0:v>
      </ns0:c>
      <ns0:c r="E4" s="309" t="str">
        <ns0:v>实际工作日减应出勤日；节假日、全天年假调整应出勤日；多出天数按每天8小时×200%折算</ns0:v>
      </ns0:c>
      <ns0:c r="F4" s="339" t="n">
        <ns0:v>1</ns0:v>
      </ns0:c>
      <ns0:c r="G4" s="339"/>
    </ns0:row>
    <ns0:row r="5" ht="70" customHeight="1">
      <ns0:c r="A5" s="205" t="str">
        <ns0:v>2026-01</ns0:v>
      </ns0:c>
      <ns0:c r="B5" s="310" t="n">
        <ns0:f>C5/8</ns0:f>
        <ns0:v>2</ns0:v>
      </ns0:c>
      <ns0:c r="C5" s="310" t="n">
        <ns0:f>SUM(D22,D23,D24,D25,D26)</ns0:f>
        <ns0:v>16</ns0:v>
      </ns0:c>
      <ns0:c r="D5" s="225" t="n">
        <ns0:f>SUM(E22,E23,E24,E25,E26)</ns0:f>
        <ns0:v>4479.84</ns0:v>
      </ns0:c>
      <ns0:c r="E5" s="309" t="str">
        <ns0:v>实际工作日减应出勤日；节假日、全天年假调整应出勤日；多出天数按每天8小时×200%折算</ns0:v>
      </ns0:c>
      <ns0:c r="F5" s="339" t="n">
        <ns0:v>2</ns0:v>
      </ns0:c>
      <ns0:c r="G5" s="339"/>
    </ns0:row>
    <ns0:row r="6" ht="70" customHeight="1">
      <ns0:c r="A6" s="205" t="str">
        <ns0:v>2026-02</ns0:v>
      </ns0:c>
      <ns0:c r="B6" s="310" t="n">
        <ns0:f>C6/8</ns0:f>
        <ns0:v>1</ns0:v>
      </ns0:c>
      <ns0:c r="C6" s="310" t="n">
        <ns0:f>SUM(D27,D28,D29,D30)</ns0:f>
        <ns0:v>8</ns0:v>
      </ns0:c>
      <ns0:c r="D6" s="225" t="n">
        <ns0:f>SUM(E27,E28,E29,E30)</ns0:f>
        <ns0:v>2239.92</ns0:v>
      </ns0:c>
      <ns0:c r="E6" s="309" t="str">
        <ns0:v>实际工作日减应出勤日；节假日、全天年假调整应出勤日；多出天数按每天8小时×200%折算</ns0:v>
      </ns0:c>
      <ns0:c r="F6" s="339" t="n">
        <ns0:v>1</ns0:v>
      </ns0:c>
      <ns0:c r="G6" s="339"/>
    </ns0:row>
    <ns0:row r="7" ht="70" customHeight="1">
      <ns0:c r="A7" s="205" t="str">
        <ns0:v>2026-03</ns0:v>
      </ns0:c>
      <ns0:c r="B7" s="310" t="n">
        <ns0:f>C7/8</ns0:f>
        <ns0:v>2</ns0:v>
      </ns0:c>
      <ns0:c r="C7" s="310" t="n">
        <ns0:f>SUM(D31,D32,D33,D34)</ns0:f>
        <ns0:v>16</ns0:v>
      </ns0:c>
      <ns0:c r="D7" s="225" t="n">
        <ns0:f>SUM(E31,E32,E33,E34)</ns0:f>
        <ns0:v>4479.84</ns0:v>
      </ns0:c>
      <ns0:c r="E7" s="309" t="str">
        <ns0:v>实际工作日减应出勤日；节假日、全天年假调整应出勤日；多出天数按每天8小时×200%折算</ns0:v>
      </ns0:c>
      <ns0:c r="F7" s="339" t="n">
        <ns0:v>2</ns0:v>
      </ns0:c>
      <ns0:c r="G7" s="339"/>
    </ns0:row>
    <ns0:row r="8" ht="70" customHeight="1">
      <ns0:c r="A8" s="205" t="str">
        <ns0:v>2026-04</ns0:v>
      </ns0:c>
      <ns0:c r="B8" s="310" t="n">
        <ns0:f>C8/8</ns0:f>
        <ns0:v>3</ns0:v>
      </ns0:c>
      <ns0:c r="C8" s="310" t="n">
        <ns0:f>SUM(D35,D36,D37,D38,D39)</ns0:f>
        <ns0:v>24</ns0:v>
      </ns0:c>
      <ns0:c r="D8" s="225" t="n">
        <ns0:f>SUM(E35,E36,E37,E38,E39)</ns0:f>
        <ns0:v>6719.76</ns0:v>
      </ns0:c>
      <ns0:c r="E8" s="309" t="str">
        <ns0:v>实际工作日减应出勤日；节假日、全天年假调整应出勤日；多出天数按每天8小时×200%折算</ns0:v>
      </ns0:c>
      <ns0:c r="F8" s="339" t="n">
        <ns0:v>3</ns0:v>
      </ns0:c>
      <ns0:c r="G8" s="339"/>
    </ns0:row>
    <ns0:row r="9" ht="70" customHeight="1">
      <ns0:c r="A9" s="205" t="str">
        <ns0:v>2026-05</ns0:v>
      </ns0:c>
      <ns0:c r="B9" s="310" t="n">
        <ns0:f>C9/8</ns0:f>
        <ns0:v>1</ns0:v>
      </ns0:c>
      <ns0:c r="C9" s="310" t="n">
        <ns0:f>SUM(D40,D41,D42,D43)</ns0:f>
        <ns0:v>8</ns0:v>
      </ns0:c>
      <ns0:c r="D9" s="225" t="n">
        <ns0:f>SUM(E40,E41,E42,E43)</ns0:f>
        <ns0:v>2239.92</ns0:v>
      </ns0:c>
      <ns0:c r="E9" s="309" t="str">
        <ns0:v>实际工作日减应出勤日；节假日、全天年假调整应出勤日；多出天数按每天8小时×200%折算</ns0:v>
      </ns0:c>
      <ns0:c r="F9" s="339" t="n">
        <ns0:v>1</ns0:v>
      </ns0:c>
      <ns0:c r="G9" s="339"/>
    </ns0:row>
    <ns0:row r="10" ht="70" customHeight="1">
      <ns0:c r="A10" s="205" t="str">
        <ns0:v>2026-06</ns0:v>
      </ns0:c>
      <ns0:c r="B10" s="310" t="n">
        <ns0:f>C10/8</ns0:f>
        <ns0:v>2</ns0:v>
      </ns0:c>
      <ns0:c r="C10" s="310" t="n">
        <ns0:f>SUM(D44,D45,D46,D47)</ns0:f>
        <ns0:v>16</ns0:v>
      </ns0:c>
      <ns0:c r="D10" s="225" t="n">
        <ns0:f>SUM(E44,E45,E46,E47)</ns0:f>
        <ns0:v>4479.84</ns0:v>
      </ns0:c>
      <ns0:c r="E10" s="309" t="str">
        <ns0:v>实际工作日减应出勤日；节假日、全天年假调整应出勤日；多出天数按每天8小时×200%折算</ns0:v>
      </ns0:c>
      <ns0:c r="F10" s="339" t="n">
        <ns0:v>2</ns0:v>
      </ns0:c>
      <ns0:c r="G10" s="339"/>
    </ns0:row>
    <ns0:row r="11" ht="70" customHeight="1">
      <ns0:c r="A11" s="205" t="str">
        <ns0:v>2026-07</ns0:v>
      </ns0:c>
      <ns0:c r="B11" s="310" t="n">
        <ns0:f>C11/8</ns0:f>
        <ns0:v>2</ns0:v>
      </ns0:c>
      <ns0:c r="C11" s="310" t="n">
        <ns0:f>SUM(D48,D49,D50,D51,D52)</ns0:f>
        <ns0:v>16</ns0:v>
      </ns0:c>
      <ns0:c r="D11" s="225" t="n">
        <ns0:f>SUM(E48,E49,E50,E51,E52)</ns0:f>
        <ns0:v>4479.84</ns0:v>
      </ns0:c>
      <ns0:c r="E11" s="309" t="str">
        <ns0:v>实际工作日减应出勤日；节假日、全天年假调整应出勤日；多出天数按每天8小时×200%折算</ns0:v>
      </ns0:c>
      <ns0:c r="F11" s="339" t="n">
        <ns0:v>2</ns0:v>
      </ns0:c>
      <ns0:c r="G11" s="339"/>
    </ns0:row>
    <ns0:row r="12" ht="70" customHeight="1">
      <ns0:c r="A12" s="205" t="str">
        <ns0:v>2026-08</ns0:v>
      </ns0:c>
      <ns0:c r="B12" s="310" t="n">
        <ns0:f>C12/8</ns0:f>
        <ns0:v>2</ns0:v>
      </ns0:c>
      <ns0:c r="C12" s="310" t="n">
        <ns0:f>SUM(D53,D54,D55,D56)</ns0:f>
        <ns0:v>16</ns0:v>
      </ns0:c>
      <ns0:c r="D12" s="225" t="n">
        <ns0:f>SUM(E53,E54,E55,E56)</ns0:f>
        <ns0:v>4479.84</ns0:v>
      </ns0:c>
      <ns0:c r="E12" s="309" t="str">
        <ns0:v>实际工作日减应出勤日；节假日、全天年假调整应出勤日；多出天数按每天8小时×200%折算</ns0:v>
      </ns0:c>
      <ns0:c r="F12" s="339" t="n">
        <ns0:v>2</ns0:v>
      </ns0:c>
      <ns0:c r="G12" s="339"/>
    </ns0:row>
    <ns0:row r="13" ht="70" customHeight="1">
      <ns0:c r="A13" s="205" t="str">
        <ns0:v>2026-09</ns0:v>
      </ns0:c>
      <ns0:c r="B13" s="310" t="n">
        <ns0:f>C13/8</ns0:f>
        <ns0:v>1</ns0:v>
      </ns0:c>
      <ns0:c r="C13" s="310" t="n">
        <ns0:f>SUM(D57,D58,D59,D60)</ns0:f>
        <ns0:v>8</ns0:v>
      </ns0:c>
      <ns0:c r="D13" s="225" t="n">
        <ns0:f>SUM(E57,E58,E59,E60)</ns0:f>
        <ns0:v>2239.92</ns0:v>
      </ns0:c>
      <ns0:c r="E13" s="309" t="str">
        <ns0:v>实际工作日减应出勤日；节假日、全天年假调整应出勤日；多出天数按每天8小时×200%折算</ns0:v>
      </ns0:c>
      <ns0:c r="F13" s="339" t="n">
        <ns0:v>1</ns0:v>
      </ns0:c>
      <ns0:c r="G13" s="339"/>
    </ns0:row>
    <ns0:row r="14" ht="70" customHeight="1">
      <ns0:c r="A14" s="205" t="str">
        <ns0:v>2026-10</ns0:v>
      </ns0:c>
      <ns0:c r="B14" s="310" t="n">
        <ns0:f>C14/8</ns0:f>
        <ns0:v>1</ns0:v>
      </ns0:c>
      <ns0:c r="C14" s="310" t="n">
        <ns0:f>SUM(D61,D62,D63,D64)</ns0:f>
        <ns0:v>8</ns0:v>
      </ns0:c>
      <ns0:c r="D14" s="225" t="n">
        <ns0:f>SUM(E61,E62,E63,E64)</ns0:f>
        <ns0:v>2239.92</ns0:v>
      </ns0:c>
      <ns0:c r="E14" s="309" t="str">
        <ns0:v>实际工作日减应出勤日；节假日、全天年假调整应出勤日；多出天数按每天8小时×200%折算</ns0:v>
      </ns0:c>
      <ns0:c r="F14" s="339" t="n">
        <ns0:v>1</ns0:v>
      </ns0:c>
      <ns0:c r="G14" s="339"/>
    </ns0:row>
    <ns0:row r="15" ht="70" customHeight="1">
      <ns0:c r="A15" s="205" t="str">
        <ns0:v>2026-11</ns0:v>
      </ns0:c>
      <ns0:c r="B15" s="310" t="n">
        <ns0:f>C15/8</ns0:f>
        <ns0:v>0</ns0:v>
      </ns0:c>
      <ns0:c r="C15" s="310" t="n">
        <ns0:f>SUM(D65,D66)</ns0:f>
        <ns0:v>0</ns0:v>
      </ns0:c>
      <ns0:c r="D15" s="225" t="n">
        <ns0:f>SUM(E65,E66)</ns0:f>
        <ns0:v>0</ns0:v>
      </ns0:c>
      <ns0:c r="E15" s="309" t="str">
        <ns0:v>11月不计加班金额</ns0:v>
      </ns0:c>
      <ns0:c r="F15" s="339" t="n">
        <ns0:v>0</ns0:v>
      </ns0:c>
      <ns0:c r="G15" s="339"/>
    </ns0:row>
    <ns0:row r="16" ht="36" customHeight="1">
      <ns0:c r="A16" s="172" t="str">
        <ns0:v>单双休加班工资合计</ns0:v>
      </ns0:c>
      <ns0:c r="B16" s="340" t="n">
        <ns0:f>SUM(B4:B15)</ns0:f>
        <ns0:v>18</ns0:v>
      </ns0:c>
      <ns0:c r="C16" s="340" t="n">
        <ns0:f>SUM(C4:C15)</ns0:f>
        <ns0:v>144</ns0:v>
      </ns0:c>
      <ns0:c r="D16" s="173" t="n">
        <ns0:f>SUM(D4:D15)</ns0:f>
        <ns0:v>40318.56</ns0:v>
      </ns0:c>
      <ns0:c r="E16" s="172"/>
      <ns0:c r="F16" s="205"/>
      <ns0:c r="G16" s="205"/>
    </ns0:row>
    <ns0:row r="18" ht="30" customHeight="1">
      <ns0:c r="A18" s="346" t="str">
        <ns0:v>逐周核对：实际工作日减应出勤日；部分请假有工作计1天。年假不作补休；8小时/天为折算时数。</ns0:v>
      </ns0:c>
      <ns0:c r="B18" s="346"/>
      <ns0:c r="C18" s="346"/>
      <ns0:c r="D18" s="346"/>
      <ns0:c r="E18" s="346"/>
      <ns0:c r="F18" s="346"/>
      <ns0:c r="G18" s="346"/>
    </ns0:row>
    <ns0:row r="19" ht="34" customHeight="1">
      <ns0:c r="A19" s="331" t="str">
        <ns0:v>周一至周日</ns0:v>
      </ns0:c>
      <ns0:c r="B19" s="331" t="str">
        <ns0:v>出勤天数（剔除审批）</ns0:v>
      </ns0:c>
      <ns0:c r="C19" s="331" t="str">
        <ns0:v>多出工作日</ns0:v>
      </ns0:c>
      <ns0:c r="D19" s="331" t="str">
        <ns0:v>折算小时</ns0:v>
      </ns0:c>
      <ns0:c r="E19" s="331" t="str">
        <ns0:v>200%金额</ns0:v>
      </ns0:c>
      <ns0:c r="F19" s="331" t="str">
        <ns0:v>出勤日期与排除说明</ns0:v>
      </ns0:c>
      <ns0:c r="G19" t="str">
        <ns0:v>原始证据</ns0:v>
      </ns0:c>
    </ns0:row>
    <ns0:row r="20" ht="150" customHeight="1">
      <ns0:c r="A20" s="339" t="str">
        <ns0:v>2025-12-15—2025-12-21</ns0:v>
      </ns0:c>
      <ns0:c r="B20" s="339" t="n">
        <ns0:v>1</ns0:v>
      </ns0:c>
      <ns0:c r="C20" s="339" t="n">
        <ns0:f>MAX(B20-1,0)</ns0:f>
        <ns0:v>0</ns0:v>
      </ns0:c>
      <ns0:c r="D20" s="341" t="n">
        <ns0:f>C20*8</ns0:f>
        <ns0:v>0</ns0:v>
      </ns0:c>
      <ns0:c r="E20" s="342" t="n">
        <ns0:f>ROUND(D20*$B$2/(21.75*8)*2,2)</ns0:f>
        <ns0:v>0</ns0:v>
      </ns0:c>
      <ns0:c r="F20" s="339" t="str">
        <ns0:v>正常工作日1天；全天年假0天；应出勤1天；实际工作日期：12-19</ns0:v>
      </ns0:c>
      <ns0:c r="G20" s="339" t="str">
        <ns0:v>/Users/a./Desktop/飞书考勤留存_2026-10-27/逐日原始打卡截图与汇总_2026-10-27/原始截图/2025-12-19_01_日历与上部.jpg；/Users/a./Desktop/飞书考勤留存_2026-10-27/逐日原始打卡截图与汇总_2026-10-27/原始截图/2025-12-20_01_日历与上部.jpg；/Users/a./Desktop/飞书考勤留存_2026-10-27/逐日原始打卡截图与汇总_2026-10-27/原始截图/2025-12-21_01_日历与上部.jpg</ns0:v>
      </ns0:c>
    </ns0:row>
    <ns0:row r="21" ht="150" customHeight="1">
      <ns0:c r="A21" s="339" t="str">
        <ns0:v>2025-12-22—2025-12-28</ns0:v>
      </ns0:c>
      <ns0:c r="B21" s="339" t="n">
        <ns0:v>6</ns0:v>
      </ns0:c>
      <ns0:c r="C21" s="339" t="n">
        <ns0:f>MAX(B21-5,0)</ns0:f>
        <ns0:v>1</ns0:v>
      </ns0:c>
      <ns0:c r="D21" s="341" t="n">
        <ns0:f>C21*8</ns0:f>
        <ns0:v>8</ns0:v>
      </ns0:c>
      <ns0:c r="E21" s="342" t="n">
        <ns0:f>ROUND(D21*$B$2/(21.75*8)*2,2)</ns0:f>
        <ns0:v>2239.92</ns0:v>
      </ns0:c>
      <ns0:c r="F21" s="339" t="str">
        <ns0:v>正常工作日5天；全天年假0天；应出勤5天；实际工作日期：12-22、12-23、12-24、12-25、12-27、12-28</ns0:v>
      </ns0:c>
      <ns0:c r="G21" s="339" t="str">
        <ns0:v>/Users/a./Desktop/飞书考勤留存_2026-10-27/逐日原始打卡截图与汇总_2026-10-27/原始截图/2025-12-22_01_日历与上部.jpg；/Users/a./Desktop/飞书考勤留存_2026-10-27/逐日原始打卡截图与汇总_2026-10-27/原始截图/2025-12-23_01_日历与上部.jpg；/Users/a./Desktop/飞书考勤留存_2026-10-27/逐日原始打卡截图与汇总_2026-10-27/原始截图/2025-12-24_01_日历与上部.jpg；/Users/a./Desktop/飞书考勤留存_2026-10-27/逐日原始打卡截图与汇总_2026-10-27/原始截图/2025-12-25_01_日历与上部.jpg；/Users/a./Desktop/飞书考勤留存_2026-10-27/逐日原始打卡截图与汇总_2026-10-27/原始截图/2025-12-26_01_日历与上部.jpg；/Users/a./Desktop/飞书考勤留存_2026-10-27/逐日原始打卡截图与汇总_2026-10-27/原始截图/2025-12-27_01_日历与上部.jpg；/Users/a./Desktop/飞书考勤留存_2026-10-27/逐日原始打卡截图与汇总_2026-10-27/原始截图/2025-12-28_01_日历与上部.jpg</ns0:v>
      </ns0:c>
    </ns0:row>
    <ns0:row r="22" ht="150" customHeight="1">
      <ns0:c r="A22" s="339" t="str">
        <ns0:v>2025-12-29—2026-01-04</ns0:v>
      </ns0:c>
      <ns0:c r="B22" s="339" t="n">
        <ns0:v>4</ns0:v>
      </ns0:c>
      <ns0:c r="C22" s="339" t="n">
        <ns0:f>MAX(B22-4,0)</ns0:f>
        <ns0:v>0</ns0:v>
      </ns0:c>
      <ns0:c r="D22" s="341" t="n">
        <ns0:f>C22*8</ns0:f>
        <ns0:v>0</ns0:v>
      </ns0:c>
      <ns0:c r="E22" s="342" t="n">
        <ns0:f>ROUND(D22*$B$2/(21.75*8)*2,2)</ns0:f>
        <ns0:v>0</ns0:v>
      </ns0:c>
      <ns0:c r="F22" s="339" t="str">
        <ns0:v>正常工作日4天；全天年假0天；应出勤4天；实际工作日期：12-29、12-30、12-31、01-04</ns0:v>
      </ns0:c>
      <ns0:c r="G22" s="339" t="str">
        <ns0:v>/Users/a./Desktop/飞书考勤留存_2026-10-27/逐日原始打卡截图与汇总_2026-10-27/原始截图/2025-12-29_01_日历与上部.jpg；/Users/a./Desktop/飞书考勤留存_2026-10-27/逐日原始打卡截图与汇总_2026-10-27/原始截图/2025-12-30_01_日历与上部.jpg；/Users/a./Desktop/飞书考勤留存_2026-10-27/逐日原始打卡截图与汇总_2026-10-27/原始截图/2025-12-31_01_日历与上部.jpg；/Users/a./Desktop/飞书考勤留存_2026-10-27/逐日原始打卡截图与汇总_2026-10-27/原始截图/2026-01-01_01_日历与上部.jpg；/Users/a./Desktop/飞书考勤留存_2026-10-27/逐日原始打卡截图与汇总_2026-10-27/原始截图/2026-01-02_01_日历与上部.jpg；/Users/a./Desktop/飞书考勤留存_2026-10-27/逐日原始打卡截图与汇总_2026-10-27/原始截图/2026-01-03_01_日历与上部.jpg；/Users/a./Desktop/飞书考勤留存_2026-10-27/逐日原始打卡截图与汇总_2026-10-27/原始截图/2026-01-04_01_日历与上部.jpg</ns0:v>
      </ns0:c>
    </ns0:row>
    <ns0:row r="23" ht="150" customHeight="1">
      <ns0:c r="A23" s="339" t="str">
        <ns0:v>2026-01-05—2026-01-11</ns0:v>
      </ns0:c>
      <ns0:c r="B23" s="339" t="n">
        <ns0:v>6</ns0:v>
      </ns0:c>
      <ns0:c r="C23" s="339" t="n">
        <ns0:f>MAX(B23-5,0)</ns0:f>
        <ns0:v>1</ns0:v>
      </ns0:c>
      <ns0:c r="D23" s="341" t="n">
        <ns0:f>C23*8</ns0:f>
        <ns0:v>8</ns0:v>
      </ns0:c>
      <ns0:c r="E23" s="342" t="n">
        <ns0:f>ROUND(D23*$B$2/(21.75*8)*2,2)</ns0:f>
        <ns0:v>2239.92</ns0:v>
      </ns0:c>
      <ns0:c r="F23" s="339" t="str">
        <ns0:v>正常工作日5天；全天年假0天；应出勤5天；实际工作日期：01-05、01-06、01-07、01-08、01-10、01-11；假别：01-06事假、请假</ns0:v>
      </ns0:c>
      <ns0:c r="G23" s="339" t="str">
        <ns0:v>/Users/a./Desktop/飞书考勤留存_2026-10-27/逐日原始打卡截图与汇总_2026-10-27/原始截图/2026-01-05_01_日历与上部.jpg；/Users/a./Desktop/飞书考勤留存_2026-10-27/逐日原始打卡截图与汇总_2026-10-27/原始截图/2026-01-06_01_日历与上部.jpg；/Users/a./Desktop/飞书考勤留存_2026-10-27/逐日原始打卡截图与汇总_2026-10-27/原始截图/2026-01-07_01_日历与上部.jpg；/Users/a./Desktop/飞书考勤留存_2026-10-27/逐日原始打卡截图与汇总_2026-10-27/原始截图/2026-01-08_01_日历与上部.jpg；/Users/a./Desktop/飞书考勤留存_2026-10-27/逐日原始打卡截图与汇总_2026-10-27/原始截图/2026-01-09_01_日历与上部.jpg；/Users/a./Desktop/飞书考勤留存_2026-10-27/逐日原始打卡截图与汇总_2026-10-27/原始截图/2026-01-10_01_日历与上部.jpg；/Users/a./Desktop/飞书考勤留存_2026-10-27/逐日原始打卡截图与汇总_2026-10-27/原始截图/2026-01-11_01_日历与上部.jpg</ns0:v>
      </ns0:c>
    </ns0:row>
    <ns0:row r="24" ht="150" customHeight="1">
      <ns0:c r="A24" s="339" t="str">
        <ns0:v>2026-01-12—2026-01-18</ns0:v>
      </ns0:c>
      <ns0:c r="B24" s="339" t="n">
        <ns0:v>5</ns0:v>
      </ns0:c>
      <ns0:c r="C24" s="339" t="n">
        <ns0:f>MAX(B24-5,0)</ns0:f>
        <ns0:v>0</ns0:v>
      </ns0:c>
      <ns0:c r="D24" s="341" t="n">
        <ns0:f>C24*8</ns0:f>
        <ns0:v>0</ns0:v>
      </ns0:c>
      <ns0:c r="E24" s="342" t="n">
        <ns0:f>ROUND(D24*$B$2/(21.75*8)*2,2)</ns0:f>
        <ns0:v>0</ns0:v>
      </ns0:c>
      <ns0:c r="F24" s="339" t="str">
        <ns0:v>正常工作日5天；全天年假0天；应出勤5天；实际工作日期：01-12、01-13、01-14、01-15、01-16</ns0:v>
      </ns0:c>
      <ns0:c r="G24" s="339" t="str">
        <ns0:v>/Users/a./Desktop/飞书考勤留存_2026-10-27/逐日原始打卡截图与汇总_2026-10-27/原始截图/2026-01-12_01_日历与上部.jpg；/Users/a./Desktop/飞书考勤留存_2026-10-27/逐日原始打卡截图与汇总_2026-10-27/原始截图/2026-01-13_01_日历与上部.jpg；/Users/a./Desktop/飞书考勤留存_2026-10-27/逐日原始打卡截图与汇总_2026-10-27/原始截图/2026-01-14_01_日历与上部.jpg；/Users/a./Desktop/飞书考勤留存_2026-10-27/逐日原始打卡截图与汇总_2026-10-27/原始截图/2026-01-15_01_日历与上部.jpg；/Users/a./Desktop/飞书考勤留存_2026-10-27/逐日原始打卡截图与汇总_2026-10-27/原始截图/2026-01-16_01_日历与上部.jpg；/Users/a./Desktop/飞书考勤留存_2026-10-27/逐日原始打卡截图与汇总_2026-10-27/原始截图/2026-01-17_01_日历与上部.jpg；/Users/a./Desktop/飞书考勤留存_2026-10-27/逐日原始打卡截图与汇总_2026-10-27/原始截图/2026-01-18_01_日历与上部.jpg</ns0:v>
      </ns0:c>
    </ns0:row>
    <ns0:row r="25" ht="150" customHeight="1">
      <ns0:c r="A25" s="339" t="str">
        <ns0:v>2026-01-19—2026-01-25</ns0:v>
      </ns0:c>
      <ns0:c r="B25" s="339" t="n">
        <ns0:v>6</ns0:v>
      </ns0:c>
      <ns0:c r="C25" s="339" t="n">
        <ns0:f>MAX(B25-5,0)</ns0:f>
        <ns0:v>1</ns0:v>
      </ns0:c>
      <ns0:c r="D25" s="341" t="n">
        <ns0:f>C25*8</ns0:f>
        <ns0:v>8</ns0:v>
      </ns0:c>
      <ns0:c r="E25" s="342" t="n">
        <ns0:f>ROUND(D25*$B$2/(21.75*8)*2,2)</ns0:f>
        <ns0:v>2239.92</ns0:v>
      </ns0:c>
      <ns0:c r="F25" s="339" t="str">
        <ns0:v>正常工作日5天；全天年假0天；应出勤5天；实际工作日期：01-19、01-20、01-21、01-22、01-24、01-25；假别：01-19事假、请假；01-25事假、请假</ns0:v>
      </ns0:c>
      <ns0:c r="G25" s="339" t="str">
        <ns0:v>/Users/a./Desktop/飞书考勤留存_2026-10-27/逐日原始打卡截图与汇总_2026-10-27/原始截图/2026-01-19_01_日历与上部.jpg；/Users/a./Desktop/飞书考勤留存_2026-10-27/逐日原始打卡截图与汇总_2026-10-27/原始截图/2026-01-20_01_日历与上部.jpg；/Users/a./Desktop/飞书考勤留存_2026-10-27/逐日原始打卡截图与汇总_2026-10-27/原始截图/2026-01-21_01_日历与上部.jpg；/Users/a./Desktop/飞书考勤留存_2026-10-27/逐日原始打卡截图与汇总_2026-10-27/原始截图/2026-01-22_01_日历与上部.jpg；/Users/a./Desktop/飞书考勤留存_2026-10-27/逐日原始打卡截图与汇总_2026-10-27/原始截图/2026-01-23_01_日历与上部.jpg；/Users/a./Desktop/飞书考勤留存_2026-10-27/逐日原始打卡截图与汇总_2026-10-27/原始截图/2026-01-24_01_日历与上部.jpg；/Users/a./Desktop/飞书考勤留存_2026-10-27/逐日原始打卡截图与汇总_2026-10-27/原始截图/2026-01-25_01_日历与上部.jpg</ns0:v>
      </ns0:c>
    </ns0:row>
    <ns0:row r="26" ht="150" customHeight="1">
      <ns0:c r="A26" s="339" t="str">
        <ns0:v>2026-01-26—2026-02-01</ns0:v>
      </ns0:c>
      <ns0:c r="B26" s="339" t="n">
        <ns0:v>5</ns0:v>
      </ns0:c>
      <ns0:c r="C26" s="339" t="n">
        <ns0:f>MAX(B26-5,0)</ns0:f>
        <ns0:v>0</ns0:v>
      </ns0:c>
      <ns0:c r="D26" s="341" t="n">
        <ns0:f>C26*8</ns0:f>
        <ns0:v>0</ns0:v>
      </ns0:c>
      <ns0:c r="E26" s="342" t="n">
        <ns0:f>ROUND(D26*$B$2/(21.75*8)*2,2)</ns0:f>
        <ns0:v>0</ns0:v>
      </ns0:c>
      <ns0:c r="F26" s="339" t="str">
        <ns0:v>正常工作日5天；全天年假0天；应出勤5天；实际工作日期：01-26、01-27、01-28、01-29、01-30</ns0:v>
      </ns0:c>
      <ns0:c r="G26" s="339" t="str">
        <ns0:v>/Users/a./Desktop/飞书考勤留存_2026-10-27/逐日原始打卡截图与汇总_2026-10-27/原始截图/2026-01-26_01_日历与上部.jpg；/Users/a./Desktop/飞书考勤留存_2026-10-27/逐日原始打卡截图与汇总_2026-10-27/原始截图/2026-01-27_01_日历与上部.jpg；/Users/a./Desktop/飞书考勤留存_2026-10-27/逐日原始打卡截图与汇总_2026-10-27/原始截图/2026-01-28_01_日历与上部.jpg；/Users/a./Desktop/飞书考勤留存_2026-10-27/逐日原始打卡截图与汇总_2026-10-27/原始截图/2026-01-29_01_日历与上部.jpg；/Users/a./Desktop/飞书考勤留存_2026-10-27/逐日原始打卡截图与汇总_2026-10-27/原始截图/2026-01-30_01_日历与上部.jpg；/Users/a./Desktop/飞书考勤留存_2026-10-27/逐日原始打卡截图与汇总_2026-10-27/原始截图/2026-01-31_01_日历与上部.jpg；/Users/a./Desktop/飞书考勤留存_2026-10-27/逐日原始打卡截图与汇总_2026-10-27/原始截图/2026-02-01_01_日历与上部.jpg</ns0:v>
      </ns0:c>
    </ns0:row>
    <ns0:row r="27" ht="150" customHeight="1">
      <ns0:c r="A27" s="339" t="str">
        <ns0:v>2026-02-02—2026-02-08</ns0:v>
      </ns0:c>
      <ns0:c r="B27" s="339" t="n">
        <ns0:v>6</ns0:v>
      </ns0:c>
      <ns0:c r="C27" s="339" t="n">
        <ns0:f>MAX(B27-5,0)</ns0:f>
        <ns0:v>1</ns0:v>
      </ns0:c>
      <ns0:c r="D27" s="341" t="n">
        <ns0:f>C27*8</ns0:f>
        <ns0:v>8</ns0:v>
      </ns0:c>
      <ns0:c r="E27" s="342" t="n">
        <ns0:f>ROUND(D27*$B$2/(21.75*8)*2,2)</ns0:f>
        <ns0:v>2239.92</ns0:v>
      </ns0:c>
      <ns0:c r="F27" s="339" t="str">
        <ns0:v>正常工作日5天；全天年假0天；应出勤5天；实际工作日期：02-02、02-03、02-04、02-05、02-07、02-08</ns0:v>
      </ns0:c>
      <ns0:c r="G27" s="339" t="str">
        <ns0:v>/Users/a./Desktop/飞书考勤留存_2026-10-27/逐日原始打卡截图与汇总_2026-10-27/原始截图/2026-02-02_01_日历与上部.jpg；/Users/a./Desktop/飞书考勤留存_2026-10-27/逐日原始打卡截图与汇总_2026-10-27/原始截图/2026-02-03_01_日历与上部.jpg；/Users/a./Desktop/飞书考勤留存_2026-10-27/逐日原始打卡截图与汇总_2026-10-27/原始截图/2026-02-04_01_日历与上部.jpg；/Users/a./Desktop/飞书考勤留存_2026-10-27/逐日原始打卡截图与汇总_2026-10-27/原始截图/2026-02-05_01_日历与上部.jpg；/Users/a./Desktop/飞书考勤留存_2026-10-27/逐日原始打卡截图与汇总_2026-10-27/原始截图/2026-02-06_01_日历与上部.jpg；/Users/a./Desktop/飞书考勤留存_2026-10-27/逐日原始打卡截图与汇总_2026-10-27/原始截图/2026-02-07_01_日历与上部.jpg；/Users/a./Desktop/飞书考勤留存_2026-10-27/逐日原始打卡截图与汇总_2026-10-27/原始截图/2026-02-08_01_日历与上部.jpg</ns0:v>
      </ns0:c>
    </ns0:row>
    <ns0:row r="28" ht="150" customHeight="1">
      <ns0:c r="A28" s="339" t="str">
        <ns0:v>2026-02-09—2026-02-15</ns0:v>
      </ns0:c>
      <ns0:c r="B28" s="339" t="n">
        <ns0:v>6</ns0:v>
      </ns0:c>
      <ns0:c r="C28" s="339" t="n">
        <ns0:f>MAX(B28-6,0)</ns0:f>
        <ns0:v>0</ns0:v>
      </ns0:c>
      <ns0:c r="D28" s="341" t="n">
        <ns0:f>C28*8</ns0:f>
        <ns0:v>0</ns0:v>
      </ns0:c>
      <ns0:c r="E28" s="342" t="n">
        <ns0:f>ROUND(D28*$B$2/(21.75*8)*2,2)</ns0:f>
        <ns0:v>0</ns0:v>
      </ns0:c>
      <ns0:c r="F28" s="339" t="str">
        <ns0:v>正常工作日6天；全天年假0天；应出勤6天；实际工作日期：02-09、02-10、02-11、02-12、02-13、02-14；假别：02-12事假、请假</ns0:v>
      </ns0:c>
      <ns0:c r="G28" s="339" t="str">
        <ns0:v>/Users/a./Desktop/飞书考勤留存_2026-10-27/逐日原始打卡截图与汇总_2026-10-27/原始截图/2026-02-09_01_日历与上部.jpg；/Users/a./Desktop/飞书考勤留存_2026-10-27/逐日原始打卡截图与汇总_2026-10-27/原始截图/2026-02-10_01_日历与上部.jpg；/Users/a./Desktop/飞书考勤留存_2026-10-27/逐日原始打卡截图与汇总_2026-10-27/原始截图/2026-02-11_01_日历与上部.jpg；/Users/a./Desktop/飞书考勤留存_2026-10-27/逐日原始打卡截图与汇总_2026-10-27/原始截图/2026-02-12_01_日历与上部.jpg；/Users/a./Desktop/飞书考勤留存_2026-10-27/逐日原始打卡截图与汇总_2026-10-27/原始截图/2026-02-13_01_日历与上部.jpg；/Users/a./Desktop/飞书考勤留存_2026-10-27/逐日原始打卡截图与汇总_2026-10-27/原始截图/2026-02-14_01_日历与上部.jpg；/Users/a./Desktop/飞书考勤留存_2026-10-27/逐日原始打卡截图与汇总_2026-10-27/原始截图/2026-02-15_01_日历与上部.jpg</ns0:v>
      </ns0:c>
    </ns0:row>
    <ns0:row r="29" ht="150" customHeight="1">
      <ns0:c r="A29" s="339" t="str">
        <ns0:v>2026-02-16—2026-02-22</ns0:v>
      </ns0:c>
      <ns0:c r="B29" s="339" t="n">
        <ns0:v>0</ns0:v>
      </ns0:c>
      <ns0:c r="C29" s="339" t="n">
        <ns0:f>MAX(B29-0,0)</ns0:f>
        <ns0:v>0</ns0:v>
      </ns0:c>
      <ns0:c r="D29" s="341" t="n">
        <ns0:f>C29*8</ns0:f>
        <ns0:v>0</ns0:v>
      </ns0:c>
      <ns0:c r="E29" s="342" t="n">
        <ns0:f>ROUND(D29*$B$2/(21.75*8)*2,2)</ns0:f>
        <ns0:v>0</ns0:v>
      </ns0:c>
      <ns0:c r="F29" s="339" t="str">
        <ns0:v>正常工作日0天；全天年假0天；应出勤0天；实际工作日期：</ns0:v>
      </ns0:c>
      <ns0:c r="G29" s="339" t="str">
        <ns0:v>/Users/a./Desktop/飞书考勤留存_2026-10-27/逐日原始打卡截图与汇总_2026-10-27/原始截图/2026-02-16_01_日历与上部.jpg；/Users/a./Desktop/飞书考勤留存_2026-10-27/逐日原始打卡截图与汇总_2026-10-27/原始截图/2026-02-17_01_日历与上部.jpg；/Users/a./Desktop/飞书考勤留存_2026-10-27/逐日原始打卡截图与汇总_2026-10-27/原始截图/2026-02-18_01_日历与上部.jpg；/Users/a./Desktop/飞书考勤留存_2026-10-27/逐日原始打卡截图与汇总_2026-10-27/原始截图/2026-02-19_01_日历与上部.jpg；/Users/a./Desktop/飞书考勤留存_2026-10-27/逐日原始打卡截图与汇总_2026-10-27/原始截图/2026-02-20_01_日历与上部.jpg；/Users/a./Desktop/飞书考勤留存_2026-10-27/逐日原始打卡截图与汇总_2026-10-27/原始截图/2026-02-21_01_日历与上部.jpg；/Users/a./Desktop/飞书考勤留存_2026-10-27/逐日原始打卡截图与汇总_2026-10-27/原始截图/2026-02-22_01_日历与上部.jpg</ns0:v>
      </ns0:c>
    </ns0:row>
    <ns0:row r="30" ht="150" customHeight="1">
      <ns0:c r="A30" s="339" t="str">
        <ns0:v>2026-02-23—2026-03-01</ns0:v>
      </ns0:c>
      <ns0:c r="B30" s="339" t="n">
        <ns0:v>5</ns0:v>
      </ns0:c>
      <ns0:c r="C30" s="339" t="n">
        <ns0:f>MAX(B30-5,0)</ns0:f>
        <ns0:v>0</ns0:v>
      </ns0:c>
      <ns0:c r="D30" s="341" t="n">
        <ns0:f>C30*8</ns0:f>
        <ns0:v>0</ns0:v>
      </ns0:c>
      <ns0:c r="E30" s="342" t="n">
        <ns0:f>ROUND(D30*$B$2/(21.75*8)*2,2)</ns0:f>
        <ns0:v>0</ns0:v>
      </ns0:c>
      <ns0:c r="F30" s="339" t="str">
        <ns0:v>正常工作日5天；全天年假0天；应出勤5天；实际工作日期：02-24、02-25、02-26、02-27、02-28</ns0:v>
      </ns0:c>
      <ns0:c r="G30" s="339" t="str">
        <ns0:v>/Users/a./Desktop/飞书考勤留存_2026-10-27/逐日原始打卡截图与汇总_2026-10-27/原始截图/2026-02-23_01_日历与上部.jpg；/Users/a./Desktop/飞书考勤留存_2026-10-27/逐日原始打卡截图与汇总_2026-10-27/原始截图/2026-02-24_01_日历与上部.jpg；/Users/a./Desktop/飞书考勤留存_2026-10-27/逐日原始打卡截图与汇总_2026-10-27/原始截图/2026-02-25_01_日历与上部.jpg；/Users/a./Desktop/飞书考勤留存_2026-10-27/逐日原始打卡截图与汇总_2026-10-27/原始截图/2026-02-26_01_日历与上部.jpg；/Users/a./Desktop/飞书考勤留存_2026-10-27/逐日原始打卡截图与汇总_2026-10-27/原始截图/2026-02-27_01_日历与上部.jpg；/Users/a./Desktop/飞书考勤留存_2026-10-27/逐日原始打卡截图与汇总_2026-10-27/原始截图/2026-02-28_01_日历与上部.jpg；/Users/a./Desktop/飞书考勤留存_2026-10-27/逐日原始打卡截图与汇总_2026-10-27/原始截图/2026-03-01_01_日历与上部.jpg</ns0:v>
      </ns0:c>
    </ns0:row>
    <ns0:row r="31" ht="150" customHeight="1">
      <ns0:c r="A31" s="339" t="str">
        <ns0:v>2026-03-02—2026-03-08</ns0:v>
      </ns0:c>
      <ns0:c r="B31" s="339" t="n">
        <ns0:v>6</ns0:v>
      </ns0:c>
      <ns0:c r="C31" s="339" t="n">
        <ns0:f>MAX(B31-5,0)</ns0:f>
        <ns0:v>1</ns0:v>
      </ns0:c>
      <ns0:c r="D31" s="341" t="n">
        <ns0:f>C31*8</ns0:f>
        <ns0:v>8</ns0:v>
      </ns0:c>
      <ns0:c r="E31" s="342" t="n">
        <ns0:f>ROUND(D31*$B$2/(21.75*8)*2,2)</ns0:f>
        <ns0:v>2239.92</ns0:v>
      </ns0:c>
      <ns0:c r="F31" s="339" t="str">
        <ns0:v>正常工作日5天；全天年假0天；应出勤5天；实际工作日期：03-02、03-03、03-04、03-05、03-07、03-08</ns0:v>
      </ns0:c>
      <ns0:c r="G31" s="339" t="str">
        <ns0:v>/Users/a./Desktop/飞书考勤留存_2026-10-27/逐日原始打卡截图与汇总_2026-10-27/原始截图/2026-03-02_01_日历与上部.jpg；/Users/a./Desktop/飞书考勤留存_2026-10-27/逐日原始打卡截图与汇总_2026-10-27/原始截图/2026-03-03_01_日历与上部.jpg；/Users/a./Desktop/飞书考勤留存_2026-10-27/逐日原始打卡截图与汇总_2026-10-27/原始截图/2026-03-04_01_日历与上部.jpg；/Users/a./Desktop/飞书考勤留存_2026-10-27/逐日原始打卡截图与汇总_2026-10-27/原始截图/2026-03-05_01_日历与上部.jpg；/Users/a./Desktop/飞书考勤留存_2026-10-27/逐日原始打卡截图与汇总_2026-10-27/原始截图/2026-03-06_01_日历与上部.jpg；/Users/a./Desktop/飞书考勤留存_2026-10-27/逐日原始打卡截图与汇总_2026-10-27/原始截图/2026-03-07_01_日历与上部.jpg；/Users/a./Desktop/飞书考勤留存_2026-10-27/逐日原始打卡截图与汇总_2026-10-27/原始截图/2026-03-08_01_日历与上部.jpg</ns0:v>
      </ns0:c>
    </ns0:row>
    <ns0:row r="32" ht="150" customHeight="1">
      <ns0:c r="A32" s="339" t="str">
        <ns0:v>2026-03-09—2026-03-15</ns0:v>
      </ns0:c>
      <ns0:c r="B32" s="339" t="n">
        <ns0:v>5</ns0:v>
      </ns0:c>
      <ns0:c r="C32" s="339" t="n">
        <ns0:f>MAX(B32-5,0)</ns0:f>
        <ns0:v>0</ns0:v>
      </ns0:c>
      <ns0:c r="D32" s="341" t="n">
        <ns0:f>C32*8</ns0:f>
        <ns0:v>0</ns0:v>
      </ns0:c>
      <ns0:c r="E32" s="342" t="n">
        <ns0:f>ROUND(D32*$B$2/(21.75*8)*2,2)</ns0:f>
        <ns0:v>0</ns0:v>
      </ns0:c>
      <ns0:c r="F32" s="339" t="str">
        <ns0:v>正常工作日5天；全天年假0天；应出勤5天；实际工作日期：03-09、03-10、03-11、03-12、03-13；假别：03-10事假、请假</ns0:v>
      </ns0:c>
      <ns0:c r="G32" s="339" t="str">
        <ns0:v>/Users/a./Desktop/飞书考勤留存_2026-10-27/逐日原始打卡截图与汇总_2026-10-27/原始截图/2026-03-09_01_日历与上部.jpg；/Users/a./Desktop/飞书考勤留存_2026-10-27/逐日原始打卡截图与汇总_2026-10-27/原始截图/2026-03-10_01_日历与上部.jpg；/Users/a./Desktop/飞书考勤留存_2026-10-27/逐日原始打卡截图与汇总_2026-10-27/原始截图/2026-03-11_01_日历与上部.jpg；/Users/a./Desktop/飞书考勤留存_2026-10-27/逐日原始打卡截图与汇总_2026-10-27/原始截图/2026-03-12_01_日历与上部.jpg；/Users/a./Desktop/飞书考勤留存_2026-10-27/逐日原始打卡截图与汇总_2026-10-27/原始截图/2026-03-13_01_日历与上部.jpg；/Users/a./Desktop/飞书考勤留存_2026-10-27/逐日原始打卡截图与汇总_2026-10-27/原始截图/2026-03-14_01_日历与上部.jpg；/Users/a./Desktop/飞书考勤留存_2026-10-27/逐日原始打卡截图与汇总_2026-10-27/原始截图/2026-03-15_01_日历与上部.jpg</ns0:v>
      </ns0:c>
    </ns0:row>
    <ns0:row r="33" ht="150" customHeight="1">
      <ns0:c r="A33" s="339" t="str">
        <ns0:v>2026-03-16—2026-03-22</ns0:v>
      </ns0:c>
      <ns0:c r="B33" s="339" t="n">
        <ns0:v>6</ns0:v>
      </ns0:c>
      <ns0:c r="C33" s="339" t="n">
        <ns0:f>MAX(B33-5,0)</ns0:f>
        <ns0:v>1</ns0:v>
      </ns0:c>
      <ns0:c r="D33" s="341" t="n">
        <ns0:f>C33*8</ns0:f>
        <ns0:v>8</ns0:v>
      </ns0:c>
      <ns0:c r="E33" s="342" t="n">
        <ns0:f>ROUND(D33*$B$2/(21.75*8)*2,2)</ns0:f>
        <ns0:v>2239.92</ns0:v>
      </ns0:c>
      <ns0:c r="F33" s="339" t="str">
        <ns0:v>正常工作日5天；全天年假0天；应出勤5天；实际工作日期：03-16、03-17、03-18、03-19、03-21、03-22；假别：03-16事假、请假</ns0:v>
      </ns0:c>
      <ns0:c r="G33" s="339" t="str">
        <ns0:v>/Users/a./Desktop/飞书考勤留存_2026-10-27/逐日原始打卡截图与汇总_2026-10-27/原始截图/2026-03-16_01_日历与上部.jpg；/Users/a./Desktop/飞书考勤留存_2026-10-27/逐日原始打卡截图与汇总_2026-10-27/原始截图/2026-03-17_01_日历与上部.jpg；/Users/a./Desktop/飞书考勤留存_2026-10-27/逐日原始打卡截图与汇总_2026-10-27/原始截图/2026-03-18_01_日历与上部.jpg；/Users/a./Desktop/飞书考勤留存_2026-10-27/逐日原始打卡截图与汇总_2026-10-27/原始截图/2026-03-19_01_日历与上部.jpg；/Users/a./Desktop/飞书考勤留存_2026-10-27/逐日原始打卡截图与汇总_2026-10-27/原始截图/2026-03-20_01_日历与上部.jpg；/Users/a./Desktop/飞书考勤留存_2026-10-27/逐日原始打卡截图与汇总_2026-10-27/原始截图/2026-03-21_01_日历与上部.jpg；/Users/a./Desktop/飞书考勤留存_2026-10-27/逐日原始打卡截图与汇总_2026-10-27/原始截图/2026-03-22_01_日历与上部.jpg</ns0:v>
      </ns0:c>
    </ns0:row>
    <ns0:row r="34" ht="150" customHeight="1">
      <ns0:c r="A34" s="339" t="str">
        <ns0:v>2026-03-23—2026-03-29</ns0:v>
      </ns0:c>
      <ns0:c r="B34" s="339" t="n">
        <ns0:v>5</ns0:v>
      </ns0:c>
      <ns0:c r="C34" s="339" t="n">
        <ns0:f>MAX(B34-5,0)</ns0:f>
        <ns0:v>0</ns0:v>
      </ns0:c>
      <ns0:c r="D34" s="341" t="n">
        <ns0:f>C34*8</ns0:f>
        <ns0:v>0</ns0:v>
      </ns0:c>
      <ns0:c r="E34" s="342" t="n">
        <ns0:f>ROUND(D34*$B$2/(21.75*8)*2,2)</ns0:f>
        <ns0:v>0</ns0:v>
      </ns0:c>
      <ns0:c r="F34" s="339" t="str">
        <ns0:v>正常工作日5天；全天年假0天；应出勤5天；实际工作日期：03-23、03-24、03-25、03-26、03-27</ns0:v>
      </ns0:c>
      <ns0:c r="G34" s="339" t="str">
        <ns0:v>/Users/a./Desktop/飞书考勤留存_2026-10-27/逐日原始打卡截图与汇总_2026-10-27/原始截图/2026-03-23_01_日历与上部.jpg；/Users/a./Desktop/飞书考勤留存_2026-10-27/逐日原始打卡截图与汇总_2026-10-27/原始截图/2026-03-24_01_日历与上部.jpg；/Users/a./Desktop/飞书考勤留存_2026-10-27/逐日原始打卡截图与汇总_2026-10-27/原始截图/2026-03-25_01_日历与上部.jpg；/Users/a./Desktop/飞书考勤留存_2026-10-27/逐日原始打卡截图与汇总_2026-10-27/原始截图/2026-03-26_01_日历与上部.jpg；/Users/a./Desktop/飞书考勤留存_2026-10-27/逐日原始打卡截图与汇总_2026-10-27/原始截图/2026-03-27_01_日历与上部.jpg；/Users/a./Desktop/飞书考勤留存_2026-10-27/逐日原始打卡截图与汇总_2026-10-27/原始截图/2026-03-28_01_日历与上部.jpg；/Users/a./Desktop/飞书考勤留存_2026-10-27/逐日原始打卡截图与汇总_2026-10-27/原始截图/2026-03-29_01_日历与上部.jpg</ns0:v>
      </ns0:c>
    </ns0:row>
    <ns0:row r="35" ht="150" customHeight="1">
      <ns0:c r="A35" s="339" t="str">
        <ns0:v>2026-03-30—2026-04-05</ns0:v>
      </ns0:c>
      <ns0:c r="B35" s="339" t="n">
        <ns0:v>5</ns0:v>
      </ns0:c>
      <ns0:c r="C35" s="339" t="n">
        <ns0:f>MAX(B35-5,0)</ns0:f>
        <ns0:v>0</ns0:v>
      </ns0:c>
      <ns0:c r="D35" s="341" t="n">
        <ns0:f>C35*8</ns0:f>
        <ns0:v>0</ns0:v>
      </ns0:c>
      <ns0:c r="E35" s="342" t="n">
        <ns0:f>ROUND(D35*$B$2/(21.75*8)*2,2)</ns0:f>
        <ns0:v>0</ns0:v>
      </ns0:c>
      <ns0:c r="F35" s="339" t="str">
        <ns0:v>正常工作日5天；全天年假0天；应出勤5天；实际工作日期：03-30、03-31、04-01、04-02、04-03</ns0:v>
      </ns0:c>
      <ns0:c r="G35" s="339" t="str">
        <ns0:v>/Users/a./Desktop/飞书考勤留存_2026-10-27/逐日原始打卡截图与汇总_2026-10-27/原始截图/2026-03-30_01_日历与上部.jpg；/Users/a./Desktop/飞书考勤留存_2026-10-27/逐日原始打卡截图与汇总_2026-10-27/原始截图/2026-03-31_01_日历与上部.jpg；/Users/a./Desktop/飞书考勤留存_2026-10-27/逐日原始打卡截图与汇总_2026-10-27/原始截图/2026-04-01_01_日历与上部.jpg；/Users/a./Desktop/飞书考勤留存_2026-10-27/逐日原始打卡截图与汇总_2026-10-27/原始截图/2026-04-02_01_日历与上部.jpg；/Users/a./Desktop/飞书考勤留存_2026-10-27/逐日原始打卡截图与汇总_2026-10-27/原始截图/2026-04-03_01_日历与上部.jpg；/Users/a./Desktop/飞书考勤留存_2026-10-27/逐日原始打卡截图与汇总_2026-10-27/原始截图/2026-04-04_01_日历与上部.jpg；/Users/a./Desktop/飞书考勤留存_2026-10-27/逐日原始打卡截图与汇总_2026-10-27/原始截图/2026-04-05_01_日历与上部.jpg</ns0:v>
      </ns0:c>
    </ns0:row>
    <ns0:row r="36" ht="150" customHeight="1">
      <ns0:c r="A36" s="339" t="str">
        <ns0:v>2026-04-06—2026-04-12</ns0:v>
      </ns0:c>
      <ns0:c r="B36" s="339" t="n">
        <ns0:v>5</ns0:v>
      </ns0:c>
      <ns0:c r="C36" s="339" t="n">
        <ns0:f>MAX(B36-4,0)</ns0:f>
        <ns0:v>1</ns0:v>
      </ns0:c>
      <ns0:c r="D36" s="341" t="n">
        <ns0:f>C36*8</ns0:f>
        <ns0:v>8</ns0:v>
      </ns0:c>
      <ns0:c r="E36" s="342" t="n">
        <ns0:f>ROUND(D36*$B$2/(21.75*8)*2,2)</ns0:f>
        <ns0:v>2239.92</ns0:v>
      </ns0:c>
      <ns0:c r="F36" s="339" t="str">
        <ns0:v>正常工作日4天；全天年假0天；应出勤4天；实际工作日期：04-07、04-08、04-09、04-10、04-12；假别：04-12事假、请假；04-08：本人6条同日Git提交证明工作记录，当前打卡不完整</ns0:v>
      </ns0:c>
      <ns0:c r="G36" s="339" t="str">
        <ns0:v>/Users/a./Desktop/飞书考勤留存_2026-10-27/逐日原始打卡截图与汇总_2026-10-27/原始截图/2026-04-06_01_日历与上部.jpg；/Users/a./Desktop/飞书考勤留存_2026-10-27/逐日原始打卡截图与汇总_2026-10-27/原始截图/2026-04-07_01_日历与上部.jpg；/Users/a./Desktop/飞书考勤留存_2026-10-27/逐日原始打卡截图与汇总_2026-10-27/原始截图/2026-04-08_01_日历与上部.jpg；/Users/a./Desktop/飞书考勤留存_2026-10-27/逐日原始打卡截图与汇总_2026-10-27/原始截图/2026-04-09_01_日历与上部.jpg；/Users/a./Desktop/飞书考勤留存_2026-10-27/逐日原始打卡截图与汇总_2026-10-27/原始截图/2026-04-10_01_日历与上部.jpg；/Users/a./Desktop/飞书考勤留存_2026-10-27/逐日原始打卡截图与汇总_2026-10-27/原始截图/2026-04-11_01_日历与上部.jpg；/Users/a./Desktop/飞书考勤留存_2026-10-27/逐日原始打卡截图与汇总_2026-10-27/原始截图/2026-04-12_01_日历与上部.jpg；/Users/a./Desktop/飞书考勤留存_2026-10-27/聊天工作与加班证据/Git提交原始截图/2026-04-08_web-plugin_SourceTree当日提交原图.jpg；/Users/a./Desktop/飞书考勤留存_2026-10-27/聊天工作与加班证据/Git提交原始截图/2026-04-08_web-next_含04月09日上下文_SourceTree当日提交高清原图.jpg</ns0:v>
      </ns0:c>
    </ns0:row>
    <ns0:row r="37" ht="150" customHeight="1">
      <ns0:c r="A37" s="339" t="str">
        <ns0:v>2026-04-13—2026-04-19</ns0:v>
      </ns0:c>
      <ns0:c r="B37" s="339" t="n">
        <ns0:v>6</ns0:v>
      </ns0:c>
      <ns0:c r="C37" s="339" t="n">
        <ns0:f>MAX(B37-5,0)</ns0:f>
        <ns0:v>1</ns0:v>
      </ns0:c>
      <ns0:c r="D37" s="341" t="n">
        <ns0:f>C37*8</ns0:f>
        <ns0:v>8</ns0:v>
      </ns0:c>
      <ns0:c r="E37" s="342" t="n">
        <ns0:f>ROUND(D37*$B$2/(21.75*8)*2,2)</ns0:f>
        <ns0:v>2239.92</ns0:v>
      </ns0:c>
      <ns0:c r="F37" s="339" t="str">
        <ns0:v>正常工作日5天；全天年假0天；应出勤5天；实际工作日期：04-13、04-14、04-15、04-16、04-17、04-19</ns0:v>
      </ns0:c>
      <ns0:c r="G37" s="339" t="str">
        <ns0:v>/Users/a./Desktop/飞书考勤留存_2026-10-27/逐日原始打卡截图与汇总_2026-10-27/原始截图/2026-04-13_01_日历与上部.jpg；/Users/a./Desktop/飞书考勤留存_2026-10-27/逐日原始打卡截图与汇总_2026-10-27/原始截图/2026-04-14_01_日历与上部.jpg；/Users/a./Desktop/飞书考勤留存_2026-10-27/逐日原始打卡截图与汇总_2026-10-27/原始截图/2026-04-15_01_日历与上部.jpg；/Users/a./Desktop/飞书考勤留存_2026-10-27/逐日原始打卡截图与汇总_2026-10-27/原始截图/2026-04-16_01_日历与上部.jpg；/Users/a./Desktop/飞书考勤留存_2026-10-27/逐日原始打卡截图与汇总_2026-10-27/原始截图/2026-04-17_01_日历与上部.jpg；/Users/a./Desktop/飞书考勤留存_2026-10-27/逐日原始打卡截图与汇总_2026-10-27/原始截图/2026-04-18_01_日历与上部.jpg；/Users/a./Desktop/飞书考勤留存_2026-10-27/逐日原始打卡截图与汇总_2026-10-27/原始截图/2026-04-19_01_日历与上部.jpg</ns0:v>
      </ns0:c>
    </ns0:row>
    <ns0:row r="38" ht="150" customHeight="1">
      <ns0:c r="A38" s="339" t="str">
        <ns0:v>2026-04-20—2026-04-26</ns0:v>
      </ns0:c>
      <ns0:c r="B38" s="339" t="n">
        <ns0:v>6</ns0:v>
      </ns0:c>
      <ns0:c r="C38" s="339" t="n">
        <ns0:f>MAX(B38-5,0)</ns0:f>
        <ns0:v>1</ns0:v>
      </ns0:c>
      <ns0:c r="D38" s="341" t="n">
        <ns0:f>C38*8</ns0:f>
        <ns0:v>8</ns0:v>
      </ns0:c>
      <ns0:c r="E38" s="342" t="n">
        <ns0:f>ROUND(D38*$B$2/(21.75*8)*2,2)</ns0:f>
        <ns0:v>2239.92</ns0:v>
      </ns0:c>
      <ns0:c r="F38" s="339" t="str">
        <ns0:v>正常工作日5天；全天年假0天；应出勤5天；实际工作日期：04-20、04-21、04-22、04-23、04-24、04-26；假别：04-26事假、请假</ns0:v>
      </ns0:c>
      <ns0:c r="G38" s="339" t="str">
        <ns0:v>/Users/a./Desktop/飞书考勤留存_2026-10-27/逐日原始打卡截图与汇总_2026-10-27/原始截图/2026-04-20_01_日历与上部.jpg；/Users/a./Desktop/飞书考勤留存_2026-10-27/逐日原始打卡截图与汇总_2026-10-27/原始截图/2026-04-21_01_日历与上部.jpg；/Users/a./Desktop/飞书考勤留存_2026-10-27/逐日原始打卡截图与汇总_2026-10-27/原始截图/2026-04-22_01_日历与上部.jpg；/Users/a./Desktop/飞书考勤留存_2026-10-27/逐日原始打卡截图与汇总_2026-10-27/原始截图/2026-04-23_01_日历与上部.jpg；/Users/a./Desktop/飞书考勤留存_2026-10-27/逐日原始打卡截图与汇总_2026-10-27/原始截图/2026-04-24_01_日历与上部.jpg；/Users/a./Desktop/飞书考勤留存_2026-10-27/逐日原始打卡截图与汇总_2026-10-27/原始截图/2026-04-25_01_日历与上部.jpg；/Users/a./Desktop/飞书考勤留存_2026-10-27/逐日原始打卡截图与汇总_2026-10-27/原始截图/2026-04-26_01_日历与上部.jpg</ns0:v>
      </ns0:c>
    </ns0:row>
    <ns0:row r="39" ht="150" customHeight="1">
      <ns0:c r="A39" s="339" t="str">
        <ns0:v>2026-04-27—2026-05-03</ns0:v>
      </ns0:c>
      <ns0:c r="B39" s="339" t="n">
        <ns0:v>3</ns0:v>
      </ns0:c>
      <ns0:c r="C39" s="339" t="n">
        <ns0:f>MAX(B39-3,0)</ns0:f>
        <ns0:v>0</ns0:v>
      </ns0:c>
      <ns0:c r="D39" s="341" t="n">
        <ns0:f>C39*8</ns0:f>
        <ns0:v>0</ns0:v>
      </ns0:c>
      <ns0:c r="E39" s="342" t="n">
        <ns0:f>ROUND(D39*$B$2/(21.75*8)*2,2)</ns0:f>
        <ns0:v>0</ns0:v>
      </ns0:c>
      <ns0:c r="F39" s="339" t="str">
        <ns0:v>正常工作日4天；全天年假1天；应出勤3天；实际工作日期：04-27、04-28、04-29；假别：04-30年假、请假</ns0:v>
      </ns0:c>
      <ns0:c r="G39" s="339" t="str">
        <ns0:v>/Users/a./Desktop/飞书考勤留存_2026-10-27/逐日原始打卡截图与汇总_2026-10-27/原始截图/2026-04-27_01_日历与上部.jpg；/Users/a./Desktop/飞书考勤留存_2026-10-27/逐日原始打卡截图与汇总_2026-10-27/原始截图/2026-04-28_01_日历与上部.jpg；/Users/a./Desktop/飞书考勤留存_2026-10-27/逐日原始打卡截图与汇总_2026-10-27/原始截图/2026-04-29_01_日历与上部.jpg；/Users/a./Desktop/飞书考勤留存_2026-10-27/逐日原始打卡截图与汇总_2026-10-27/原始截图/2026-04-30_01_日历与上部.jpg；/Users/a./Desktop/飞书考勤留存_2026-10-27/逐日原始打卡截图与汇总_2026-10-27/原始截图/2026-05-01_01_日历与上部.jpg；/Users/a./Desktop/飞书考勤留存_2026-10-27/逐日原始打卡截图与汇总_2026-10-27/原始截图/2026-05-02_01_日历与上部.jpg；/Users/a./Desktop/飞书考勤留存_2026-10-27/逐日原始打卡截图与汇总_2026-10-27/原始截图/2026-05-03_01_日历与上部.jpg</ns0:v>
      </ns0:c>
    </ns0:row>
    <ns0:row r="17" ht="30" customHeight="1">
      <ns0:c r="A17"/>
      <ns0:c r="B17"/>
      <ns0:c r="C17"/>
      <ns0:c r="D17"/>
      <ns0:c r="E17"/>
      <ns0:c r="F17"/>
      <ns0:c r="G17"/>
    </ns0:row>
    <ns0:row r="40" ht="150" customHeight="1">
      <ns0:c r="A40" s="339" t="str">
        <ns0:v>2026-05-04—2026-05-10</ns0:v>
      </ns0:c>
      <ns0:c r="B40" s="339" t="n">
        <ns0:v>4</ns0:v>
      </ns0:c>
      <ns0:c r="C40" s="339" t="n">
        <ns0:f>MAX(B40-4,0)</ns0:f>
        <ns0:v>0</ns0:v>
      </ns0:c>
      <ns0:c r="D40" s="341" t="n">
        <ns0:f>C40*8</ns0:f>
        <ns0:v>0</ns0:v>
      </ns0:c>
      <ns0:c r="E40" s="342" t="n">
        <ns0:f>ROUND(D40*$B$2/(21.75*8)*2,2)</ns0:f>
        <ns0:v>0</ns0:v>
      </ns0:c>
      <ns0:c r="F40" s="339" t="str">
        <ns0:v>正常工作日4天；全天年假0天；应出勤4天；实际工作日期：05-06、05-07、05-08、05-09</ns0:v>
      </ns0:c>
      <ns0:c r="G40" s="339" t="str">
        <ns0:v>/Users/a./Desktop/飞书考勤留存_2026-10-27/逐日原始打卡截图与汇总_2026-10-27/原始截图/2026-05-04_01_日历与上部.jpg；/Users/a./Desktop/飞书考勤留存_2026-10-27/逐日原始打卡截图与汇总_2026-10-27/原始截图/2026-05-05_01_日历与上部.jpg；/Users/a./Desktop/飞书考勤留存_2026-10-27/逐日原始打卡截图与汇总_2026-10-27/原始截图/2026-05-06_01_日历与上部.jpg；/Users/a./Desktop/飞书考勤留存_2026-10-27/逐日原始打卡截图与汇总_2026-10-27/原始截图/2026-05-07_01_日历与上部.jpg；/Users/a./Desktop/飞书考勤留存_2026-10-27/逐日原始打卡截图与汇总_2026-10-27/原始截图/2026-05-08_01_日历与上部.jpg；/Users/a./Desktop/飞书考勤留存_2026-10-27/逐日原始打卡截图与汇总_2026-10-27/原始截图/2026-05-09_01_日历与上部.jpg；/Users/a./Desktop/飞书考勤留存_2026-10-27/逐日原始打卡截图与汇总_2026-10-27/原始截图/2026-05-10_01_日历与上部.jpg</ns0:v>
      </ns0:c>
    </ns0:row>
    <ns0:row r="41" ht="150" customHeight="1">
      <ns0:c r="A41" s="339" t="str">
        <ns0:v>2026-05-11—2026-05-17</ns0:v>
      </ns0:c>
      <ns0:c r="B41" s="339" t="n">
        <ns0:v>6</ns0:v>
      </ns0:c>
      <ns0:c r="C41" s="339" t="n">
        <ns0:f>MAX(B41-5,0)</ns0:f>
        <ns0:v>1</ns0:v>
      </ns0:c>
      <ns0:c r="D41" s="341" t="n">
        <ns0:f>C41*8</ns0:f>
        <ns0:v>8</ns0:v>
      </ns0:c>
      <ns0:c r="E41" s="342" t="n">
        <ns0:f>ROUND(D41*$B$2/(21.75*8)*2,2)</ns0:f>
        <ns0:v>2239.92</ns0:v>
      </ns0:c>
      <ns0:c r="F41" s="339" t="str">
        <ns0:v>正常工作日5天；全天年假0天；应出勤5天；实际工作日期：05-11、05-12、05-13、05-14、05-15、05-17</ns0:v>
      </ns0:c>
      <ns0:c r="G41" s="339" t="str">
        <ns0:v>/Users/a./Desktop/飞书考勤留存_2026-10-27/逐日原始打卡截图与汇总_2026-10-27/原始截图/2026-05-11_01_日历与上部.jpg；/Users/a./Desktop/飞书考勤留存_2026-10-27/逐日原始打卡截图与汇总_2026-10-27/原始截图/2026-05-12_01_日历与上部.jpg；/Users/a./Desktop/飞书考勤留存_2026-10-27/逐日原始打卡截图与汇总_2026-10-27/原始截图/2026-05-13_01_日历与上部.jpg；/Users/a./Desktop/飞书考勤留存_2026-10-27/逐日原始打卡截图与汇总_2026-10-27/原始截图/2026-05-14_01_日历与上部.jpg；/Users/a./Desktop/飞书考勤留存_2026-10-27/逐日原始打卡截图与汇总_2026-10-27/原始截图/2026-05-15_01_日历与上部.jpg；/Users/a./Desktop/飞书考勤留存_2026-10-27/逐日原始打卡截图与汇总_2026-10-27/原始截图/2026-05-16_01_日历与上部.jpg；/Users/a./Desktop/飞书考勤留存_2026-10-27/逐日原始打卡截图与汇总_2026-10-27/原始截图/2026-05-17_01_日历与上部.jpg</ns0:v>
      </ns0:c>
    </ns0:row>
    <ns0:row r="42" ht="150" customHeight="1">
      <ns0:c r="A42" s="339" t="str">
        <ns0:v>2026-05-18—2026-05-24</ns0:v>
      </ns0:c>
      <ns0:c r="B42" s="339" t="n">
        <ns0:v>5</ns0:v>
      </ns0:c>
      <ns0:c r="C42" s="339" t="n">
        <ns0:f>MAX(B42-5,0)</ns0:f>
        <ns0:v>0</ns0:v>
      </ns0:c>
      <ns0:c r="D42" s="341" t="n">
        <ns0:f>C42*8</ns0:f>
        <ns0:v>0</ns0:v>
      </ns0:c>
      <ns0:c r="E42" s="342" t="n">
        <ns0:f>ROUND(D42*$B$2/(21.75*8)*2,2)</ns0:f>
        <ns0:v>0</ns0:v>
      </ns0:c>
      <ns0:c r="F42" s="339" t="str">
        <ns0:v>正常工作日5天；全天年假0天；应出勤5天；实际工作日期：05-18、05-19、05-20、05-21、05-22；审批加班单列：2026-05-24</ns0:v>
      </ns0:c>
      <ns0:c r="G42" s="339" t="str">
        <ns0:v>/Users/a./Desktop/飞书考勤留存_2026-10-27/逐日原始打卡截图与汇总_2026-10-27/原始截图/2026-05-18_01_日历与上部.jpg；/Users/a./Desktop/飞书考勤留存_2026-10-27/逐日原始打卡截图与汇总_2026-10-27/原始截图/2026-05-19_01_日历与上部.jpg；/Users/a./Desktop/飞书考勤留存_2026-10-27/逐日原始打卡截图与汇总_2026-10-27/原始截图/2026-05-20_01_日历与上部.jpg；/Users/a./Desktop/飞书考勤留存_2026-10-27/逐日原始打卡截图与汇总_2026-10-27/原始截图/2026-05-21_01_日历与上部.jpg；/Users/a./Desktop/飞书考勤留存_2026-10-27/逐日原始打卡截图与汇总_2026-10-27/原始截图/2026-05-22_01_日历与上部.jpg；/Users/a./Desktop/飞书考勤留存_2026-10-27/逐日原始打卡截图与汇总_2026-10-27/原始截图/2026-05-23_01_日历与上部.jpg；/Users/a./Desktop/飞书考勤留存_2026-10-27/逐日原始打卡截图与汇总_2026-10-27/原始截图/2026-05-24_01_日历与上部.jpg</ns0:v>
      </ns0:c>
    </ns0:row>
    <ns0:row r="43" ht="150" customHeight="1">
      <ns0:c r="A43" s="339" t="str">
        <ns0:v>2026-05-25—2026-05-31</ns0:v>
      </ns0:c>
      <ns0:c r="B43" s="339" t="n">
        <ns0:v>5</ns0:v>
      </ns0:c>
      <ns0:c r="C43" s="339" t="n">
        <ns0:f>MAX(B43-5,0)</ns0:f>
        <ns0:v>0</ns0:v>
      </ns0:c>
      <ns0:c r="D43" s="341" t="n">
        <ns0:f>C43*8</ns0:f>
        <ns0:v>0</ns0:v>
      </ns0:c>
      <ns0:c r="E43" s="342" t="n">
        <ns0:f>ROUND(D43*$B$2/(21.75*8)*2,2)</ns0:f>
        <ns0:v>0</ns0:v>
      </ns0:c>
      <ns0:c r="F43" s="339" t="str">
        <ns0:v>正常工作日5天；全天年假0天；应出勤5天；实际工作日期：05-25、05-26、05-27、05-28、05-29；假别：05-31调休、请假；05-31调休对应加班余额待核对，未重复抵扣本项</ns0:v>
      </ns0:c>
      <ns0:c r="G43" s="339" t="str">
        <ns0:v>/Users/a./Desktop/飞书考勤留存_2026-10-27/逐日原始打卡截图与汇总_2026-10-27/原始截图/2026-05-25_01_日历与上部.jpg；/Users/a./Desktop/飞书考勤留存_2026-10-27/逐日原始打卡截图与汇总_2026-10-27/原始截图/2026-05-26_01_日历与上部.jpg；/Users/a./Desktop/飞书考勤留存_2026-10-27/逐日原始打卡截图与汇总_2026-10-27/原始截图/2026-05-27_01_日历与上部.jpg；/Users/a./Desktop/飞书考勤留存_2026-10-27/逐日原始打卡截图与汇总_2026-10-27/原始截图/2026-05-28_01_日历与上部.jpg；/Users/a./Desktop/飞书考勤留存_2026-10-27/逐日原始打卡截图与汇总_2026-10-27/原始截图/2026-05-29_01_日历与上部.jpg；/Users/a./Desktop/飞书考勤留存_2026-10-27/逐日原始打卡截图与汇总_2026-10-27/原始截图/2026-05-30_01_日历与上部.jpg；/Users/a./Desktop/飞书考勤留存_2026-10-27/逐日原始打卡截图与汇总_2026-10-27/原始截图/2026-05-31_01_日历与上部.jpg</ns0:v>
      </ns0:c>
    </ns0:row>
    <ns0:row r="44" ht="150" customHeight="1">
      <ns0:c r="A44" s="339" t="str">
        <ns0:v>2026-06-01—2026-06-07</ns0:v>
      </ns0:c>
      <ns0:c r="B44" s="339" t="n">
        <ns0:v>5</ns0:v>
      </ns0:c>
      <ns0:c r="C44" s="339" t="n">
        <ns0:f>MAX(B44-5,0)</ns0:f>
        <ns0:v>0</ns0:v>
      </ns0:c>
      <ns0:c r="D44" s="341" t="n">
        <ns0:f>C44*8</ns0:f>
        <ns0:v>0</ns0:v>
      </ns0:c>
      <ns0:c r="E44" s="342" t="n">
        <ns0:f>ROUND(D44*$B$2/(21.75*8)*2,2)</ns0:f>
        <ns0:v>0</ns0:v>
      </ns0:c>
      <ns0:c r="F44" s="339" t="str">
        <ns0:v>正常工作日5天；全天年假0天；应出勤5天；实际工作日期：06-01、06-02、06-03、06-04、06-05；6/7缺卡，出勤待核实，未计金额</ns0:v>
      </ns0:c>
      <ns0:c r="G44" s="339" t="str">
        <ns0:v>/Users/a./Desktop/飞书考勤留存_2026-10-27/逐日原始打卡截图与汇总_2026-10-27/原始截图/2026-06-01_01_日历与上部.jpg；/Users/a./Desktop/飞书考勤留存_2026-10-27/逐日原始打卡截图与汇总_2026-10-27/原始截图/2026-06-02_01_日历与上部.jpg；/Users/a./Desktop/飞书考勤留存_2026-10-27/逐日原始打卡截图与汇总_2026-10-27/原始截图/2026-06-03_01_日历与上部.jpg；/Users/a./Desktop/飞书考勤留存_2026-10-27/逐日原始打卡截图与汇总_2026-10-27/原始截图/2026-06-04_01_日历与上部.jpg；/Users/a./Desktop/飞书考勤留存_2026-10-27/逐日原始打卡截图与汇总_2026-10-27/原始截图/2026-06-05_01_日历与上部.jpg；/Users/a./Desktop/飞书考勤留存_2026-10-27/逐日原始打卡截图与汇总_2026-10-27/原始截图/2026-06-06_01_日历与上部.jpg；/Users/a./Desktop/飞书考勤留存_2026-10-27/逐日原始打卡截图与汇总_2026-10-27/原始截图/2026-06-07_01_日历与上部.jpg</ns0:v>
      </ns0:c>
    </ns0:row>
    <ns0:row r="45" ht="150" customHeight="1">
      <ns0:c r="A45" s="339" t="str">
        <ns0:v>2026-06-08—2026-06-14</ns0:v>
      </ns0:c>
      <ns0:c r="B45" s="339" t="n">
        <ns0:v>6</ns0:v>
      </ns0:c>
      <ns0:c r="C45" s="339" t="n">
        <ns0:f>MAX(B45-5,0)</ns0:f>
        <ns0:v>1</ns0:v>
      </ns0:c>
      <ns0:c r="D45" s="341" t="n">
        <ns0:f>C45*8</ns0:f>
        <ns0:v>8</ns0:v>
      </ns0:c>
      <ns0:c r="E45" s="342" t="n">
        <ns0:f>ROUND(D45*$B$2/(21.75*8)*2,2)</ns0:f>
        <ns0:v>2239.92</ns0:v>
      </ns0:c>
      <ns0:c r="F45" s="339" t="str">
        <ns0:v>正常工作日5天；全天年假0天；应出勤5天；实际工作日期：06-08、06-09、06-10、06-11、06-12、06-14；假别：06-11事假、请假</ns0:v>
      </ns0:c>
      <ns0:c r="G45" s="339" t="str">
        <ns0:v>/Users/a./Desktop/飞书考勤留存_2026-10-27/逐日原始打卡截图与汇总_2026-10-27/原始截图/2026-06-08_01_日历与上部.jpg；/Users/a./Desktop/飞书考勤留存_2026-10-27/逐日原始打卡截图与汇总_2026-10-27/原始截图/2026-06-09_01_日历与上部.jpg；/Users/a./Desktop/飞书考勤留存_2026-10-27/逐日原始打卡截图与汇总_2026-10-27/原始截图/2026-06-10_01_日历与上部.jpg；/Users/a./Desktop/飞书考勤留存_2026-10-27/逐日原始打卡截图与汇总_2026-10-27/原始截图/2026-06-11_01_日历与上部.jpg；/Users/a./Desktop/飞书考勤留存_2026-10-27/逐日原始打卡截图与汇总_2026-10-27/原始截图/2026-06-12_01_日历与上部.jpg；/Users/a./Desktop/飞书考勤留存_2026-10-27/逐日原始打卡截图与汇总_2026-10-27/原始截图/2026-06-13_01_日历与上部.jpg；/Users/a./Desktop/飞书考勤留存_2026-10-27/逐日原始打卡截图与汇总_2026-10-27/原始截图/2026-06-14_01_日历与上部.jpg</ns0:v>
      </ns0:c>
    </ns0:row>
    <ns0:row r="46" ht="150" customHeight="1">
      <ns0:c r="A46" s="339" t="str">
        <ns0:v>2026-06-15—2026-06-21</ns0:v>
      </ns0:c>
      <ns0:c r="B46" s="339" t="n">
        <ns0:v>4</ns0:v>
      </ns0:c>
      <ns0:c r="C46" s="339" t="n">
        <ns0:f>MAX(B46-4,0)</ns0:f>
        <ns0:v>0</ns0:v>
      </ns0:c>
      <ns0:c r="D46" s="341" t="n">
        <ns0:f>C46*8</ns0:f>
        <ns0:v>0</ns0:v>
      </ns0:c>
      <ns0:c r="E46" s="342" t="n">
        <ns0:f>ROUND(D46*$B$2/(21.75*8)*2,2)</ns0:f>
        <ns0:v>0</ns0:v>
      </ns0:c>
      <ns0:c r="F46" s="339" t="str">
        <ns0:v>正常工作日4天；全天年假0天；应出勤4天；实际工作日期：06-15、06-16、06-17、06-18</ns0:v>
      </ns0:c>
      <ns0:c r="G46" s="339" t="str">
        <ns0:v>/Users/a./Desktop/飞书考勤留存_2026-10-27/逐日原始打卡截图与汇总_2026-10-27/原始截图/2026-06-15_01_日历与上部.jpg；/Users/a./Desktop/飞书考勤留存_2026-10-27/逐日原始打卡截图与汇总_2026-10-27/原始截图/2026-06-16_01_日历与上部.jpg；/Users/a./Desktop/飞书考勤留存_2026-10-27/逐日原始打卡截图与汇总_2026-10-27/原始截图/2026-06-17_01_日历与上部.jpg；/Users/a./Desktop/飞书考勤留存_2026-10-27/逐日原始打卡截图与汇总_2026-10-27/原始截图/2026-06-18_01_日历与上部.jpg；/Users/a./Desktop/飞书考勤留存_2026-10-27/逐日原始打卡截图与汇总_2026-10-27/原始截图/2026-06-19_01_日历与上部.jpg；/Users/a./Desktop/飞书考勤留存_2026-10-27/逐日原始打卡截图与汇总_2026-10-27/原始截图/2026-06-20_01_日历与上部.jpg；/Users/a./Desktop/飞书考勤留存_2026-10-27/逐日原始打卡截图与汇总_2026-10-27/原始截图/2026-06-21_01_日历与上部.jpg</ns0:v>
      </ns0:c>
    </ns0:row>
    <ns0:row r="47" ht="150" customHeight="1">
      <ns0:c r="A47" s="339" t="str">
        <ns0:v>2026-06-22—2026-06-28</ns0:v>
      </ns0:c>
      <ns0:c r="B47" s="339" t="n">
        <ns0:v>6</ns0:v>
      </ns0:c>
      <ns0:c r="C47" s="339" t="n">
        <ns0:f>MAX(B47-5,0)</ns0:f>
        <ns0:v>1</ns0:v>
      </ns0:c>
      <ns0:c r="D47" s="341" t="n">
        <ns0:f>C47*8</ns0:f>
        <ns0:v>8</ns0:v>
      </ns0:c>
      <ns0:c r="E47" s="342" t="n">
        <ns0:f>ROUND(D47*$B$2/(21.75*8)*2,2)</ns0:f>
        <ns0:v>2239.92</ns0:v>
      </ns0:c>
      <ns0:c r="F47" s="339" t="str">
        <ns0:v>正常工作日5天；全天年假0天；应出勤5天；实际工作日期：06-22、06-23、06-24、06-25、06-26、06-28；假别：06-23调休、请假；06-23调休对应加班余额待核对，未重复抵扣本项</ns0:v>
      </ns0:c>
      <ns0:c r="G47" s="339" t="str">
        <ns0:v>/Users/a./Desktop/飞书考勤留存_2026-10-27/逐日原始打卡截图与汇总_2026-10-27/原始截图/2026-06-22_01_日历与上部.jpg；/Users/a./Desktop/飞书考勤留存_2026-10-27/逐日原始打卡截图与汇总_2026-10-27/原始截图/2026-06-23_01_日历与上部.jpg；/Users/a./Desktop/飞书考勤留存_2026-10-27/逐日原始打卡截图与汇总_2026-10-27/原始截图/2026-06-24_01_日历与上部.jpg；/Users/a./Desktop/飞书考勤留存_2026-10-27/逐日原始打卡截图与汇总_2026-10-27/原始截图/2026-06-25_01_日历与上部.jpg；/Users/a./Desktop/飞书考勤留存_2026-10-27/逐日原始打卡截图与汇总_2026-10-27/原始截图/2026-06-26_01_日历与上部.jpg；/Users/a./Desktop/飞书考勤留存_2026-10-27/逐日原始打卡截图与汇总_2026-10-27/原始截图/2026-06-27_01_日历与上部.jpg；/Users/a./Desktop/飞书考勤留存_2026-10-27/逐日原始打卡截图与汇总_2026-10-27/原始截图/2026-06-28_01_日历与上部.jpg</ns0:v>
      </ns0:c>
    </ns0:row>
    <ns0:row r="48" ht="150" customHeight="1">
      <ns0:c r="A48" s="339" t="str">
        <ns0:v>2026-06-29—2026-07-05</ns0:v>
      </ns0:c>
      <ns0:c r="B48" s="339" t="n">
        <ns0:v>5</ns0:v>
      </ns0:c>
      <ns0:c r="C48" s="339" t="n">
        <ns0:f>MAX(B48-5,0)</ns0:f>
        <ns0:v>0</ns0:v>
      </ns0:c>
      <ns0:c r="D48" s="341" t="n">
        <ns0:f>C48*8</ns0:f>
        <ns0:v>0</ns0:v>
      </ns0:c>
      <ns0:c r="E48" s="342" t="n">
        <ns0:f>ROUND(D48*$B$2/(21.75*8)*2,2)</ns0:f>
        <ns0:v>0</ns0:v>
      </ns0:c>
      <ns0:c r="F48" s="339" t="str">
        <ns0:v>正常工作日5天；全天年假0天；应出勤5天；实际工作日期：06-29、06-30、07-01、07-02、07-03；假别：07-01年假、请假</ns0:v>
      </ns0:c>
      <ns0:c r="G48" s="339" t="str">
        <ns0:v>/Users/a./Desktop/飞书考勤留存_2026-10-27/逐日原始打卡截图与汇总_2026-10-27/原始截图/2026-06-29_01_日历与上部.jpg；/Users/a./Desktop/飞书考勤留存_2026-10-27/逐日原始打卡截图与汇总_2026-10-27/原始截图/2026-06-30_01_日历与上部.jpg；/Users/a./Desktop/飞书考勤留存_2026-10-27/逐日原始打卡截图与汇总_2026-10-27/原始截图/2026-07-01_01_日历与上部.jpg；/Users/a./Desktop/飞书考勤留存_2026-10-27/逐日原始打卡截图与汇总_2026-10-27/原始截图/2026-07-02_01_日历与上部.jpg；/Users/a./Desktop/飞书考勤留存_2026-10-27/逐日原始打卡截图与汇总_2026-10-27/原始截图/2026-07-03_01_日历与上部.jpg；/Users/a./Desktop/飞书考勤留存_2026-10-27/逐日原始打卡截图与汇总_2026-10-27/原始截图/2026-07-04_01_日历与上部.jpg；/Users/a./Desktop/飞书考勤留存_2026-10-27/逐日原始打卡截图与汇总_2026-10-27/原始截图/2026-07-05_01_日历与上部.jpg</ns0:v>
      </ns0:c>
    </ns0:row>
    <ns0:row r="49" ht="150" customHeight="1">
      <ns0:c r="A49" s="339" t="str">
        <ns0:v>2026-07-06—2026-07-12</ns0:v>
      </ns0:c>
      <ns0:c r="B49" s="339" t="n">
        <ns0:v>6</ns0:v>
      </ns0:c>
      <ns0:c r="C49" s="339" t="n">
        <ns0:f>MAX(B49-5,0)</ns0:f>
        <ns0:v>1</ns0:v>
      </ns0:c>
      <ns0:c r="D49" s="341" t="n">
        <ns0:f>C49*8</ns0:f>
        <ns0:v>8</ns0:v>
      </ns0:c>
      <ns0:c r="E49" s="342" t="n">
        <ns0:f>ROUND(D49*$B$2/(21.75*8)*2,2)</ns0:f>
        <ns0:v>2239.92</ns0:v>
      </ns0:c>
      <ns0:c r="F49" s="339" t="str">
        <ns0:v>正常工作日5天；全天年假0天；应出勤5天；实际工作日期：07-06、07-07、07-08、07-09、07-10、07-12；07-12：公司通知居家办公，按正常出勤</ns0:v>
      </ns0:c>
      <ns0:c r="G49" s="339" t="str">
        <ns0:v>/Users/a./Desktop/飞书考勤留存_2026-10-27/逐日原始打卡截图与汇总_2026-10-27/原始截图/2026-07-06_01_日历与上部.jpg；/Users/a./Desktop/飞书考勤留存_2026-10-27/逐日原始打卡截图与汇总_2026-10-27/原始截图/2026-07-07_01_日历与上部.jpg；/Users/a./Desktop/飞书考勤留存_2026-10-27/逐日原始打卡截图与汇总_2026-10-27/原始截图/2026-07-08_01_日历与上部.jpg；/Users/a./Desktop/飞书考勤留存_2026-10-27/逐日原始打卡截图与汇总_2026-10-27/原始截图/2026-07-09_01_日历与上部.jpg；/Users/a./Desktop/飞书考勤留存_2026-10-27/逐日原始打卡截图与汇总_2026-10-27/原始截图/2026-07-10_01_日历与上部.jpg；/Users/a./Desktop/飞书考勤留存_2026-10-27/逐日原始打卡截图与汇总_2026-10-27/原始截图/2026-07-11_01_日历与上部.jpg；/Users/a./Desktop/飞书考勤留存_2026-10-27/逐日原始打卡截图与汇总_2026-10-27/原始截图/2026-07-12_01_日历与上部.jpg</ns0:v>
      </ns0:c>
    </ns0:row>
    <ns0:row r="50" ht="150" customHeight="1">
      <ns0:c r="A50" s="339" t="str">
        <ns0:v>2026-07-13—2026-07-19</ns0:v>
      </ns0:c>
      <ns0:c r="B50" s="339" t="n">
        <ns0:v>5</ns0:v>
      </ns0:c>
      <ns0:c r="C50" s="339" t="n">
        <ns0:f>MAX(B50-5,0)</ns0:f>
        <ns0:v>0</ns0:v>
      </ns0:c>
      <ns0:c r="D50" s="341" t="n">
        <ns0:f>C50*8</ns0:f>
        <ns0:v>0</ns0:v>
      </ns0:c>
      <ns0:c r="E50" s="342" t="n">
        <ns0:f>ROUND(D50*$B$2/(21.75*8)*2,2)</ns0:f>
        <ns0:v>0</ns0:v>
      </ns0:c>
      <ns0:c r="F50" s="339" t="str">
        <ns0:v>正常工作日5天；全天年假0天；应出勤5天；实际工作日期：07-13、07-14、07-15、07-16、07-17</ns0:v>
      </ns0:c>
      <ns0:c r="G50" s="339" t="str">
        <ns0:v>/Users/a./Desktop/飞书考勤留存_2026-10-27/逐日原始打卡截图与汇总_2026-10-27/原始截图/2026-07-13_01_日历与上部.jpg；/Users/a./Desktop/飞书考勤留存_2026-10-27/逐日原始打卡截图与汇总_2026-10-27/原始截图/2026-07-14_01_日历与上部.jpg；/Users/a./Desktop/飞书考勤留存_2026-10-27/逐日原始打卡截图与汇总_2026-10-27/原始截图/2026-07-15_01_日历与上部.jpg；/Users/a./Desktop/飞书考勤留存_2026-10-27/逐日原始打卡截图与汇总_2026-10-27/原始截图/2026-07-16_01_日历与上部.jpg；/Users/a./Desktop/飞书考勤留存_2026-10-27/逐日原始打卡截图与汇总_2026-10-27/原始截图/2026-07-17_01_日历与上部.jpg；/Users/a./Desktop/飞书考勤留存_2026-10-27/逐日原始打卡截图与汇总_2026-10-27/原始截图/2026-07-18_01_日历与上部.jpg；/Users/a./Desktop/飞书考勤留存_2026-10-27/逐日原始打卡截图与汇总_2026-10-27/原始截图/2026-07-19_01_日历与上部.jpg</ns0:v>
      </ns0:c>
    </ns0:row>
    <ns0:row r="51" ht="150" customHeight="1">
      <ns0:c r="A51" s="339" t="str">
        <ns0:v>2026-07-20—2026-07-26</ns0:v>
      </ns0:c>
      <ns0:c r="B51" s="339" t="n">
        <ns0:v>6</ns0:v>
      </ns0:c>
      <ns0:c r="C51" s="339" t="n">
        <ns0:f>MAX(B51-5,0)</ns0:f>
        <ns0:v>1</ns0:v>
      </ns0:c>
      <ns0:c r="D51" s="341" t="n">
        <ns0:f>C51*8</ns0:f>
        <ns0:v>8</ns0:v>
      </ns0:c>
      <ns0:c r="E51" s="342" t="n">
        <ns0:f>ROUND(D51*$B$2/(21.75*8)*2,2)</ns0:f>
        <ns0:v>2239.92</ns0:v>
      </ns0:c>
      <ns0:c r="F51" s="339" t="str">
        <ns0:v>正常工作日5天；全天年假0天；应出勤5天；实际工作日期：07-20、07-21、07-22、07-23、07-24、07-26</ns0:v>
      </ns0:c>
      <ns0:c r="G51" s="339" t="str">
        <ns0:v>/Users/a./Desktop/飞书考勤留存_2026-10-27/逐日原始打卡截图与汇总_2026-10-27/原始截图/2026-07-20_01_日历与上部.jpg；/Users/a./Desktop/飞书考勤留存_2026-10-27/逐日原始打卡截图与汇总_2026-10-27/原始截图/2026-07-21_01_日历与上部.jpg；/Users/a./Desktop/飞书考勤留存_2026-10-27/逐日原始打卡截图与汇总_2026-10-27/原始截图/2026-07-22_01_日历与上部.jpg；/Users/a./Desktop/飞书考勤留存_2026-10-27/逐日原始打卡截图与汇总_2026-10-27/原始截图/2026-07-23_01_日历与上部.jpg；/Users/a./Desktop/飞书考勤留存_2026-10-27/逐日原始打卡截图与汇总_2026-10-27/原始截图/2026-07-24_01_日历与上部.jpg；/Users/a./Desktop/飞书考勤留存_2026-10-27/逐日原始打卡截图与汇总_2026-10-27/原始截图/2026-07-25_01_日历与上部.jpg；/Users/a./Desktop/飞书考勤留存_2026-10-27/逐日原始打卡截图与汇总_2026-10-27/原始截图/2026-07-26_01_日历与上部.jpg</ns0:v>
      </ns0:c>
    </ns0:row>
    <ns0:row r="52" ht="150" customHeight="1">
      <ns0:c r="A52" s="339" t="str">
        <ns0:v>2026-07-27—2026-08-02</ns0:v>
      </ns0:c>
      <ns0:c r="B52" s="339" t="n">
        <ns0:v>5</ns0:v>
      </ns0:c>
      <ns0:c r="C52" s="339" t="n">
        <ns0:f>MAX(B52-5,0)</ns0:f>
        <ns0:v>0</ns0:v>
      </ns0:c>
      <ns0:c r="D52" s="341" t="n">
        <ns0:f>C52*8</ns0:f>
        <ns0:v>0</ns0:v>
      </ns0:c>
      <ns0:c r="E52" s="342" t="n">
        <ns0:f>ROUND(D52*$B$2/(21.75*8)*2,2)</ns0:f>
        <ns0:v>0</ns0:v>
      </ns0:c>
      <ns0:c r="F52" s="339" t="str">
        <ns0:v>正常工作日5天；全天年假0天；应出勤5天；实际工作日期：07-27、07-28、07-29、07-30、07-31；假别：07-27事假、请假</ns0:v>
      </ns0:c>
      <ns0:c r="G52" s="339" t="str">
        <ns0:v>/Users/a./Desktop/飞书考勤留存_2026-10-27/逐日原始打卡截图与汇总_2026-10-27/原始截图/2026-07-27_01_日历与上部.jpg；/Users/a./Desktop/飞书考勤留存_2026-10-27/逐日原始打卡截图与汇总_2026-10-27/原始截图/2026-07-28_01_日历与上部.jpg；/Users/a./Desktop/飞书考勤留存_2026-10-27/逐日原始打卡截图与汇总_2026-10-27/原始截图/2026-07-29_01_日历与上部.jpg；/Users/a./Desktop/飞书考勤留存_2026-10-27/逐日原始打卡截图与汇总_2026-10-27/原始截图/2026-07-30_01_日历与上部.jpg；/Users/a./Desktop/飞书考勤留存_2026-10-27/逐日原始打卡截图与汇总_2026-10-27/原始截图/2026-07-31_01_日历与上部.jpg；/Users/a./Desktop/飞书考勤留存_2026-10-27/逐日原始打卡截图与汇总_2026-10-27/原始截图/2026-08-01_01_日历与上部.jpg；/Users/a./Desktop/飞书考勤留存_2026-10-27/逐日原始打卡截图与汇总_2026-10-27/原始截图/2026-08-02_01_日历与上部.jpg</ns0:v>
      </ns0:c>
    </ns0:row>
    <ns0:row r="53" ht="150" customHeight="1">
      <ns0:c r="A53" s="339" t="str">
        <ns0:v>2026-08-03—2026-08-09</ns0:v>
      </ns0:c>
      <ns0:c r="B53" s="339" t="n">
        <ns0:v>6</ns0:v>
      </ns0:c>
      <ns0:c r="C53" s="339" t="n">
        <ns0:f>MAX(B53-5,0)</ns0:f>
        <ns0:v>1</ns0:v>
      </ns0:c>
      <ns0:c r="D53" s="341" t="n">
        <ns0:f>C53*8</ns0:f>
        <ns0:v>8</ns0:v>
      </ns0:c>
      <ns0:c r="E53" s="342" t="n">
        <ns0:f>ROUND(D53*$B$2/(21.75*8)*2,2)</ns0:f>
        <ns0:v>2239.92</ns0:v>
      </ns0:c>
      <ns0:c r="F53" s="339" t="str">
        <ns0:v>正常工作日5天；全天年假0天；应出勤5天；实际工作日期：08-03、08-04、08-05、08-06、08-07、08-09</ns0:v>
      </ns0:c>
      <ns0:c r="G53" s="339" t="str">
        <ns0:v>/Users/a./Desktop/飞书考勤留存_2026-10-27/逐日原始打卡截图与汇总_2026-10-27/原始截图/2026-08-03_01_日历与上部.jpg；/Users/a./Desktop/飞书考勤留存_2026-10-27/逐日原始打卡截图与汇总_2026-10-27/原始截图/2026-08-04_01_日历与上部.jpg；/Users/a./Desktop/飞书考勤留存_2026-10-27/逐日原始打卡截图与汇总_2026-10-27/原始截图/2026-08-05_01_日历与上部.jpg；/Users/a./Desktop/飞书考勤留存_2026-10-27/逐日原始打卡截图与汇总_2026-10-27/原始截图/2026-08-06_01_日历与上部.jpg；/Users/a./Desktop/飞书考勤留存_2026-10-27/逐日原始打卡截图与汇总_2026-10-27/原始截图/2026-08-07_01_日历与上部.jpg；/Users/a./Desktop/飞书考勤留存_2026-10-27/逐日原始打卡截图与汇总_2026-10-27/原始截图/2026-08-08_01_日历与上部.jpg；/Users/a./Desktop/飞书考勤留存_2026-10-27/逐日原始打卡截图与汇总_2026-10-27/原始截图/2026-08-09_01_日历与上部.jpg</ns0:v>
      </ns0:c>
    </ns0:row>
    <ns0:row r="54" ht="150" customHeight="1">
      <ns0:c r="A54" s="339" t="str">
        <ns0:v>2026-08-10—2026-08-16</ns0:v>
      </ns0:c>
      <ns0:c r="B54" s="339" t="n">
        <ns0:v>5</ns0:v>
      </ns0:c>
      <ns0:c r="C54" s="339" t="n">
        <ns0:f>MAX(B54-5,0)</ns0:f>
        <ns0:v>0</ns0:v>
      </ns0:c>
      <ns0:c r="D54" s="341" t="n">
        <ns0:f>C54*8</ns0:f>
        <ns0:v>0</ns0:v>
      </ns0:c>
      <ns0:c r="E54" s="342" t="n">
        <ns0:f>ROUND(D54*$B$2/(21.75*8)*2,2)</ns0:f>
        <ns0:v>0</ns0:v>
      </ns0:c>
      <ns0:c r="F54" s="339" t="str">
        <ns0:v>正常工作日5天；全天年假0天；应出勤5天；实际工作日期：08-10、08-11、08-12、08-13、08-14；假别：08-11事假、请假</ns0:v>
      </ns0:c>
      <ns0:c r="G54" s="339" t="str">
        <ns0:v>/Users/a./Desktop/飞书考勤留存_2026-10-27/逐日原始打卡截图与汇总_2026-10-27/原始截图/2026-08-10_01_日历与上部.jpg；/Users/a./Desktop/飞书考勤留存_2026-10-27/逐日原始打卡截图与汇总_2026-10-27/原始截图/2026-08-11_01_日历与上部.jpg；/Users/a./Desktop/飞书考勤留存_2026-10-27/逐日原始打卡截图与汇总_2026-10-27/原始截图/2026-08-12_01_日历与上部.jpg；/Users/a./Desktop/飞书考勤留存_2026-10-27/逐日原始打卡截图与汇总_2026-10-27/原始截图/2026-08-13_01_日历与上部.jpg；/Users/a./Desktop/飞书考勤留存_2026-10-27/逐日原始打卡截图与汇总_2026-10-27/原始截图/2026-08-14_01_日历与上部.jpg；/Users/a./Desktop/飞书考勤留存_2026-10-27/逐日原始打卡截图与汇总_2026-10-27/原始截图/2026-08-15_01_日历与上部.jpg；/Users/a./Desktop/飞书考勤留存_2026-10-27/逐日原始打卡截图与汇总_2026-10-27/原始截图/2026-08-16_01_日历与上部.jpg</ns0:v>
      </ns0:c>
    </ns0:row>
    <ns0:row r="55" ht="150" customHeight="1">
      <ns0:c r="A55" s="339" t="str">
        <ns0:v>2026-08-17—2026-08-23</ns0:v>
      </ns0:c>
      <ns0:c r="B55" s="339" t="n">
        <ns0:v>6</ns0:v>
      </ns0:c>
      <ns0:c r="C55" s="339" t="n">
        <ns0:f>MAX(B55-5,0)</ns0:f>
        <ns0:v>1</ns0:v>
      </ns0:c>
      <ns0:c r="D55" s="341" t="n">
        <ns0:f>C55*8</ns0:f>
        <ns0:v>8</ns0:v>
      </ns0:c>
      <ns0:c r="E55" s="342" t="n">
        <ns0:f>ROUND(D55*$B$2/(21.75*8)*2,2)</ns0:f>
        <ns0:v>2239.92</ns0:v>
      </ns0:c>
      <ns0:c r="F55" s="339" t="str">
        <ns0:v>正常工作日5天；全天年假0天；应出勤5天；实际工作日期：08-17、08-18、08-19、08-20、08-21、08-23；假别：08-23事假、请假</ns0:v>
      </ns0:c>
      <ns0:c r="G55" s="339" t="str">
        <ns0:v>/Users/a./Desktop/飞书考勤留存_2026-10-27/逐日原始打卡截图与汇总_2026-10-27/原始截图/2026-08-17_01_日历与上部.jpg；/Users/a./Desktop/飞书考勤留存_2026-10-27/逐日原始打卡截图与汇总_2026-10-27/原始截图/2026-08-18_01_日历与上部.jpg；/Users/a./Desktop/飞书考勤留存_2026-10-27/逐日原始打卡截图与汇总_2026-10-27/原始截图/2026-08-19_01_日历与上部.jpg；/Users/a./Desktop/飞书考勤留存_2026-10-27/逐日原始打卡截图与汇总_2026-10-27/原始截图/2026-08-20_01_日历与上部.jpg；/Users/a./Desktop/飞书考勤留存_2026-10-27/逐日原始打卡截图与汇总_2026-10-27/原始截图/2026-08-21_01_日历与上部.jpg；/Users/a./Desktop/飞书考勤留存_2026-10-27/逐日原始打卡截图与汇总_2026-10-27/原始截图/2026-08-22_01_日历与上部.jpg；/Users/a./Desktop/飞书考勤留存_2026-10-27/逐日原始打卡截图与汇总_2026-10-27/原始截图/2026-08-23_01_日历与上部.jpg</ns0:v>
      </ns0:c>
    </ns0:row>
    <ns0:row r="56" ht="150" customHeight="1">
      <ns0:c r="A56" s="339" t="str">
        <ns0:v>2026-08-24—2026-08-30</ns0:v>
      </ns0:c>
      <ns0:c r="B56" s="339" t="n">
        <ns0:v>5</ns0:v>
      </ns0:c>
      <ns0:c r="C56" s="339" t="n">
        <ns0:f>MAX(B56-5,0)</ns0:f>
        <ns0:v>0</ns0:v>
      </ns0:c>
      <ns0:c r="D56" s="341" t="n">
        <ns0:f>C56*8</ns0:f>
        <ns0:v>0</ns0:v>
      </ns0:c>
      <ns0:c r="E56" s="342" t="n">
        <ns0:f>ROUND(D56*$B$2/(21.75*8)*2,2)</ns0:f>
        <ns0:v>0</ns0:v>
      </ns0:c>
      <ns0:c r="F56" s="339" t="str">
        <ns0:v>正常工作日5天；全天年假0天；应出勤5天；实际工作日期：08-24、08-25、08-26、08-27、08-28；假别：08-28事假、请假</ns0:v>
      </ns0:c>
      <ns0:c r="G56" s="339" t="str">
        <ns0:v>/Users/a./Desktop/飞书考勤留存_2026-10-27/逐日原始打卡截图与汇总_2026-10-27/原始截图/2026-08-24_01_日历与上部.jpg；/Users/a./Desktop/飞书考勤留存_2026-10-27/逐日原始打卡截图与汇总_2026-10-27/原始截图/2026-08-25_01_日历与上部.jpg；/Users/a./Desktop/飞书考勤留存_2026-10-27/逐日原始打卡截图与汇总_2026-10-27/原始截图/2026-08-26_01_日历与上部.jpg；/Users/a./Desktop/飞书考勤留存_2026-10-27/逐日原始打卡截图与汇总_2026-10-27/原始截图/2026-08-27_01_日历与上部.jpg；/Users/a./Desktop/飞书考勤留存_2026-10-27/逐日原始打卡截图与汇总_2026-10-27/原始截图/2026-08-28_01_日历与上部.jpg；/Users/a./Desktop/飞书考勤留存_2026-10-27/逐日原始打卡截图与汇总_2026-10-27/原始截图/2026-08-29_01_日历与上部.jpg；/Users/a./Desktop/飞书考勤留存_2026-10-27/逐日原始打卡截图与汇总_2026-10-27/原始截图/2026-08-30_01_日历与上部.jpg</ns0:v>
      </ns0:c>
    </ns0:row>
    <ns0:row r="57" ht="150" customHeight="1">
      <ns0:c r="A57" s="339" t="str">
        <ns0:v>2026-08-31—2026-09-06</ns0:v>
      </ns0:c>
      <ns0:c r="B57" s="339" t="n">
        <ns0:v>6</ns0:v>
      </ns0:c>
      <ns0:c r="C57" s="339" t="n">
        <ns0:f>MAX(B57-5,0)</ns0:f>
        <ns0:v>1</ns0:v>
      </ns0:c>
      <ns0:c r="D57" s="341" t="n">
        <ns0:f>C57*8</ns0:f>
        <ns0:v>8</ns0:v>
      </ns0:c>
      <ns0:c r="E57" s="342" t="n">
        <ns0:f>ROUND(D57*$B$2/(21.75*8)*2,2)</ns0:f>
        <ns0:v>2239.92</ns0:v>
      </ns0:c>
      <ns0:c r="F57" s="339" t="str">
        <ns0:v>正常工作日5天；全天年假0天；应出勤5天；实际工作日期：08-31、09-01、09-02、09-03、09-04、09-06；假别：09-01事假、请假</ns0:v>
      </ns0:c>
      <ns0:c r="G57" s="339" t="str">
        <ns0:v>/Users/a./Desktop/飞书考勤留存_2026-10-27/逐日原始打卡截图与汇总_2026-10-27/原始截图/2026-08-31_01_日历与上部.jpg；/Users/a./Desktop/飞书考勤留存_2026-10-27/逐日原始打卡截图与汇总_2026-10-27/原始截图/2026-09-01_01_日历与上部.jpg；/Users/a./Desktop/飞书考勤留存_2026-10-27/逐日原始打卡截图与汇总_2026-10-27/原始截图/2026-09-02_01_日历与上部.jpg；/Users/a./Desktop/飞书考勤留存_2026-10-27/逐日原始打卡截图与汇总_2026-10-27/原始截图/2026-09-03_01_日历与上部.jpg；/Users/a./Desktop/飞书考勤留存_2026-10-27/逐日原始打卡截图与汇总_2026-10-27/原始截图/2026-09-04_01_日历与上部.jpg；/Users/a./Desktop/飞书考勤留存_2026-10-27/逐日原始打卡截图与汇总_2026-10-27/原始截图/2026-09-05_01_日历与上部.jpg；/Users/a./Desktop/飞书考勤留存_2026-10-27/逐日原始打卡截图与汇总_2026-10-27/原始截图/2026-09-06_01_日历与上部.jpg</ns0:v>
      </ns0:c>
    </ns0:row>
    <ns0:row r="58" ht="150" customHeight="1">
      <ns0:c r="A58" s="339" t="str">
        <ns0:v>2026-09-07—2026-09-13</ns0:v>
      </ns0:c>
      <ns0:c r="B58" s="339" t="n">
        <ns0:v>5</ns0:v>
      </ns0:c>
      <ns0:c r="C58" s="339" t="n">
        <ns0:f>MAX(B58-5,0)</ns0:f>
        <ns0:v>0</ns0:v>
      </ns0:c>
      <ns0:c r="D58" s="341" t="n">
        <ns0:f>C58*8</ns0:f>
        <ns0:v>0</ns0:v>
      </ns0:c>
      <ns0:c r="E58" s="342" t="n">
        <ns0:f>ROUND(D58*$B$2/(21.75*8)*2,2)</ns0:f>
        <ns0:v>0</ns0:v>
      </ns0:c>
      <ns0:c r="F58" s="339" t="str">
        <ns0:v>正常工作日5天；全天年假0天；应出勤5天；实际工作日期：09-07、09-08、09-09、09-10、09-11</ns0:v>
      </ns0:c>
      <ns0:c r="G58" s="339" t="str">
        <ns0:v>/Users/a./Desktop/飞书考勤留存_2026-10-27/逐日原始打卡截图与汇总_2026-10-27/原始截图/2026-09-07_01_日历与上部.jpg；/Users/a./Desktop/飞书考勤留存_2026-10-27/逐日原始打卡截图与汇总_2026-10-27/原始截图/2026-09-08_01_日历与上部.jpg；/Users/a./Desktop/飞书考勤留存_2026-10-27/逐日原始打卡截图与汇总_2026-10-27/原始截图/2026-09-09_01_日历与上部.jpg；/Users/a./Desktop/飞书考勤留存_2026-10-27/逐日原始打卡截图与汇总_2026-10-27/原始截图/2026-09-10_01_日历与上部.jpg；/Users/a./Desktop/飞书考勤留存_2026-10-27/逐日原始打卡截图与汇总_2026-10-27/原始截图/2026-09-11_01_日历与上部.jpg；/Users/a./Desktop/飞书考勤留存_2026-10-27/逐日原始打卡截图与汇总_2026-10-27/原始截图/2026-09-12_01_日历与上部.jpg；/Users/a./Desktop/飞书考勤留存_2026-10-27/逐日原始打卡截图与汇总_2026-10-27/原始截图/2026-09-13_01_日历与上部.jpg</ns0:v>
      </ns0:c>
    </ns0:row>
    <ns0:row r="59" ht="150" customHeight="1">
      <ns0:c r="A59" s="339" t="str">
        <ns0:v>2026-09-14—2026-09-20</ns0:v>
      </ns0:c>
      <ns0:c r="B59" s="339" t="n">
        <ns0:v>6</ns0:v>
      </ns0:c>
      <ns0:c r="C59" s="339" t="n">
        <ns0:f>MAX(B59-6,0)</ns0:f>
        <ns0:v>0</ns0:v>
      </ns0:c>
      <ns0:c r="D59" s="341" t="n">
        <ns0:f>C59*8</ns0:f>
        <ns0:v>0</ns0:v>
      </ns0:c>
      <ns0:c r="E59" s="342" t="n">
        <ns0:f>ROUND(D59*$B$2/(21.75*8)*2,2)</ns0:f>
        <ns0:v>0</ns0:v>
      </ns0:c>
      <ns0:c r="F59" s="339" t="str">
        <ns0:v>正常工作日6天；全天年假0天；应出勤6天；实际工作日期：09-14、09-15、09-16、09-17、09-18、09-20</ns0:v>
      </ns0:c>
      <ns0:c r="G59" s="339" t="str">
        <ns0:v>/Users/a./Desktop/飞书考勤留存_2026-10-27/逐日原始打卡截图与汇总_2026-10-27/原始截图/2026-09-14_01_日历与上部.jpg；/Users/a./Desktop/飞书考勤留存_2026-10-27/逐日原始打卡截图与汇总_2026-10-27/原始截图/2026-09-15_01_日历与上部.jpg；/Users/a./Desktop/飞书考勤留存_2026-10-27/逐日原始打卡截图与汇总_2026-10-27/原始截图/2026-09-16_01_日历与上部.jpg；/Users/a./Desktop/飞书考勤留存_2026-10-27/逐日原始打卡截图与汇总_2026-10-27/原始截图/2026-09-17_01_日历与上部.jpg；/Users/a./Desktop/飞书考勤留存_2026-10-27/逐日原始打卡截图与汇总_2026-10-27/原始截图/2026-09-18_01_日历与上部.jpg；/Users/a./Desktop/飞书考勤留存_2026-10-27/逐日原始打卡截图与汇总_2026-10-27/原始截图/2026-09-19_01_日历与上部.jpg；/Users/a./Desktop/飞书考勤留存_2026-10-27/逐日原始打卡截图与汇总_2026-10-27/原始截图/2026-09-20_01_日历与上部.jpg</ns0:v>
      </ns0:c>
    </ns0:row>
    <ns0:row r="60" ht="150" customHeight="1">
      <ns0:c r="A60" s="339" t="str">
        <ns0:v>2026-09-21—2026-09-27</ns0:v>
      </ns0:c>
      <ns0:c r="B60" s="339" t="n">
        <ns0:v>4</ns0:v>
      </ns0:c>
      <ns0:c r="C60" s="339" t="n">
        <ns0:f>MAX(B60-4,0)</ns0:f>
        <ns0:v>0</ns0:v>
      </ns0:c>
      <ns0:c r="D60" s="341" t="n">
        <ns0:f>C60*8</ns0:f>
        <ns0:v>0</ns0:v>
      </ns0:c>
      <ns0:c r="E60" s="342" t="n">
        <ns0:f>ROUND(D60*$B$2/(21.75*8)*2,2)</ns0:f>
        <ns0:v>0</ns0:v>
      </ns0:c>
      <ns0:c r="F60" s="339" t="str">
        <ns0:v>正常工作日4天；全天年假0天；应出勤4天；实际工作日期：09-21、09-22、09-23、09-24；假别：09-21年假、请假</ns0:v>
      </ns0:c>
      <ns0:c r="G60" s="339" t="str">
        <ns0:v>/Users/a./Desktop/飞书考勤留存_2026-10-27/逐日原始打卡截图与汇总_2026-10-27/原始截图/2026-09-21_01_日历与上部.jpg；/Users/a./Desktop/飞书考勤留存_2026-10-27/逐日原始打卡截图与汇总_2026-10-27/原始截图/2026-09-22_01_日历与上部.jpg；/Users/a./Desktop/飞书考勤留存_2026-10-27/逐日原始打卡截图与汇总_2026-10-27/原始截图/2026-09-23_01_日历与上部.jpg；/Users/a./Desktop/飞书考勤留存_2026-10-27/逐日原始打卡截图与汇总_2026-10-27/原始截图/2026-09-24_01_日历与上部.jpg；/Users/a./Desktop/飞书考勤留存_2026-10-27/逐日原始打卡截图与汇总_2026-10-27/原始截图/2026-09-25_01_日历与上部.jpg；/Users/a./Desktop/飞书考勤留存_2026-10-27/逐日原始打卡截图与汇总_2026-10-27/原始截图/2026-09-26_01_日历与上部.jpg；/Users/a./Desktop/飞书考勤留存_2026-10-27/逐日原始打卡截图与汇总_2026-10-27/原始截图/2026-09-27_01_日历与上部.jpg</ns0:v>
      </ns0:c>
    </ns0:row>
    <ns0:row r="61" ht="150" customHeight="1">
      <ns0:c r="A61" s="339" t="str">
        <ns0:v>2026-09-28—2026-10-04</ns0:v>
      </ns0:c>
      <ns0:c r="B61" s="339" t="n">
        <ns0:v>0</ns0:v>
      </ns0:c>
      <ns0:c r="C61" s="339" t="n">
        <ns0:f>MAX(B61-0,0)</ns0:f>
        <ns0:v>0</ns0:v>
      </ns0:c>
      <ns0:c r="D61" s="341" t="n">
        <ns0:f>C61*8</ns0:f>
        <ns0:v>0</ns0:v>
      </ns0:c>
      <ns0:c r="E61" s="342" t="n">
        <ns0:f>ROUND(D61*$B$2/(21.75*8)*2,2)</ns0:f>
        <ns0:v>0</ns0:v>
      </ns0:c>
      <ns0:c r="F61" s="339" t="str">
        <ns0:v>正常工作日3天；全天年假3天；应出勤0天；实际工作日期：；假别：09-28年假、请假；09-29年假、请假；09-30年假、请假</ns0:v>
      </ns0:c>
      <ns0:c r="G61" s="339" t="str">
        <ns0:v>/Users/a./Desktop/飞书考勤留存_2026-10-27/逐日原始打卡截图与汇总_2026-10-27/原始截图/2026-09-28_01_日历与上部.jpg；/Users/a./Desktop/飞书考勤留存_2026-10-27/逐日原始打卡截图与汇总_2026-10-27/原始截图/2026-09-29_01_日历与上部.jpg；/Users/a./Desktop/飞书考勤留存_2026-10-27/逐日原始打卡截图与汇总_2026-10-27/原始截图/2026-09-30_01_日历与上部.jpg；/Users/a./Desktop/飞书考勤留存_2026-10-27/逐日原始打卡截图与汇总_2026-10-27/原始截图/2026-10-01_0072_日历与明细上部.jpg；/Users/a./Desktop/飞书考勤留存_2026-10-27/逐日原始打卡截图与汇总_2026-10-27/原始截图/2026-10-02_0070_日历与明细上部.jpg；/Users/a./Desktop/飞书考勤留存_2026-10-27/逐日原始打卡截图与汇总_2026-10-27/原始截图/2026-10-03_0068_日历与明细上部.jpg；/Users/a./Desktop/飞书考勤留存_2026-10-27/逐日原始打卡截图与汇总_2026-10-27/原始截图/2026-10-04_0066_日历与明细上部.jpg</ns0:v>
      </ns0:c>
    </ns0:row>
    <ns0:row r="62" ht="150" customHeight="1">
      <ns0:c r="A62" s="339" t="str">
        <ns0:v>2026-10-05—2026-10-11</ns0:v>
      </ns0:c>
      <ns0:c r="B62" s="339" t="n">
        <ns0:v>3</ns0:v>
      </ns0:c>
      <ns0:c r="C62" s="339" t="n">
        <ns0:f>MAX(B62-3,0)</ns0:f>
        <ns0:v>0</ns0:v>
      </ns0:c>
      <ns0:c r="D62" s="341" t="n">
        <ns0:f>C62*8</ns0:f>
        <ns0:v>0</ns0:v>
      </ns0:c>
      <ns0:c r="E62" s="342" t="n">
        <ns0:f>ROUND(D62*$B$2/(21.75*8)*2,2)</ns0:f>
        <ns0:v>0</ns0:v>
      </ns0:c>
      <ns0:c r="F62" s="339" t="str">
        <ns0:v>正常工作日3天；全天年假0天；应出勤3天；实际工作日期：10-08、10-09、10-10</ns0:v>
      </ns0:c>
      <ns0:c r="G62" s="339" t="str">
        <ns0:v>/Users/a./Desktop/飞书考勤留存_2026-10-27/逐日原始打卡截图与汇总_2026-10-27/原始截图/2026-10-05_0064_日历与明细上部.jpg；/Users/a./Desktop/飞书考勤留存_2026-10-27/逐日原始打卡截图与汇总_2026-10-27/原始截图/2026-10-06_0062_日历与明细上部.jpg；/Users/a./Desktop/飞书考勤留存_2026-10-27/逐日原始打卡截图与汇总_2026-10-27/原始截图/2026-10-07_0060_日历与明细上部.jpg；/Users/a./Desktop/飞书考勤留存_2026-10-27/逐日原始打卡截图与汇总_2026-10-27/原始截图/2026-10-08_0057_日历与明细上部.jpg；/Users/a./Desktop/飞书考勤留存_2026-10-27/逐日原始打卡截图与汇总_2026-10-27/原始截图/2026-10-09_0053_日历与明细上部.jpg；/Users/a./Desktop/飞书考勤留存_2026-10-27/逐日原始打卡截图与汇总_2026-10-27/原始截图/2026-10-10_0050_日历与明细上部.jpg；/Users/a./Desktop/飞书考勤留存_2026-10-27/逐日原始打卡截图与汇总_2026-10-27/原始截图/2026-10-11_0048_日历与明细上部.jpg</ns0:v>
      </ns0:c>
    </ns0:row>
    <ns0:row r="63" ht="150" customHeight="1">
      <ns0:c r="A63" s="339" t="str">
        <ns0:v>2026-10-12—2026-10-18</ns0:v>
      </ns0:c>
      <ns0:c r="B63" s="339" t="n">
        <ns0:v>6</ns0:v>
      </ns0:c>
      <ns0:c r="C63" s="339" t="n">
        <ns0:f>MAX(B63-5,0)</ns0:f>
        <ns0:v>1</ns0:v>
      </ns0:c>
      <ns0:c r="D63" s="341" t="n">
        <ns0:f>C63*8</ns0:f>
        <ns0:v>8</ns0:v>
      </ns0:c>
      <ns0:c r="E63" s="342" t="n">
        <ns0:f>ROUND(D63*$B$2/(21.75*8)*2,2)</ns0:f>
        <ns0:v>2239.92</ns0:v>
      </ns0:c>
      <ns0:c r="F63" s="339" t="str">
        <ns0:v>正常工作日5天；全天年假0天；应出勤5天；实际工作日期：10-12、10-13、10-14、10-15、10-16、10-18</ns0:v>
      </ns0:c>
      <ns0:c r="G63" s="339" t="str">
        <ns0:v>/Users/a./Desktop/飞书考勤留存_2026-10-27/逐日原始打卡截图与汇总_2026-10-27/原始截图/2026-10-12_0045_日历与明细上部.jpg；/Users/a./Desktop/飞书考勤留存_2026-10-27/逐日原始打卡截图与汇总_2026-10-27/原始截图/2026-10-13_0042_日历与明细上部.jpg；/Users/a./Desktop/飞书考勤留存_2026-10-27/逐日原始打卡截图与汇总_2026-10-27/原始截图/2026-10-14_0039_日历与明细上部.jpg；/Users/a./Desktop/飞书考勤留存_2026-10-27/逐日原始打卡截图与汇总_2026-10-27/原始截图/2026-10-15_0036_日历与明细上部.jpg；/Users/a./Desktop/飞书考勤留存_2026-10-27/逐日原始打卡截图与汇总_2026-10-27/原始截图/2026-10-16_0033_日历与明细上部.jpg；/Users/a./Desktop/飞书考勤留存_2026-10-27/逐日原始打卡截图与汇总_2026-10-27/原始截图/2026-10-17_0031_日历与明细上部.jpg；/Users/a./Desktop/飞书考勤留存_2026-10-27/逐日原始打卡截图与汇总_2026-10-27/原始截图/2026-10-18_0028_日历与明细上部.jpg</ns0:v>
      </ns0:c>
    </ns0:row>
    <ns0:row r="64" ht="150" customHeight="1">
      <ns0:c r="A64" s="339" t="str">
        <ns0:v>2026-10-19—2026-10-25</ns0:v>
      </ns0:c>
      <ns0:c r="B64" s="339" t="n">
        <ns0:v>5</ns0:v>
      </ns0:c>
      <ns0:c r="C64" s="339" t="n">
        <ns0:f>MAX(B64-5,0)</ns0:f>
        <ns0:v>0</ns0:v>
      </ns0:c>
      <ns0:c r="D64" s="341" t="n">
        <ns0:f>C64*8</ns0:f>
        <ns0:v>0</ns0:v>
      </ns0:c>
      <ns0:c r="E64" s="342" t="n">
        <ns0:f>ROUND(D64*$B$2/(21.75*8)*2,2)</ns0:f>
        <ns0:v>0</ns0:v>
      </ns0:c>
      <ns0:c r="F64" s="339" t="str">
        <ns0:v>正常工作日5天；全天年假0天；应出勤5天；实际工作日期：10-19、10-20、10-21、10-22、10-23；审批加班单列：2026-10-24、2026-10-25</ns0:v>
      </ns0:c>
      <ns0:c r="G64" s="339" t="str">
        <ns0:v>/Users/a./Desktop/飞书考勤留存_2026-10-27/逐日原始打卡截图与汇总_2026-10-27/原始截图/2026-10-19_0025_日历与明细上部.jpg；/Users/a./Desktop/飞书考勤留存_2026-10-27/逐日原始打卡截图与汇总_2026-10-27/原始截图/2026-10-20_0022_日历与明细上部.jpg；/Users/a./Desktop/飞书考勤留存_2026-10-27/逐日原始打卡截图与汇总_2026-10-27/原始截图/2026-10-21_0019_日历与明细上部.jpg；/Users/a./Desktop/飞书考勤留存_2026-10-27/逐日原始打卡截图与汇总_2026-10-27/原始截图/2026-10-22_0016_日历与明细上部.jpg；/Users/a./Desktop/飞书考勤留存_2026-10-27/逐日原始打卡截图与汇总_2026-10-27/原始截图/2026-10-23_0013_日历与明细上部.jpg；/Users/a./Desktop/飞书考勤留存_2026-10-27/逐日原始打卡截图与汇总_2026-10-27/原始截图/2026-10-24_0010_日历与明细上部.jpg；/Users/a./Desktop/飞书考勤留存_2026-10-27/逐日原始打卡截图与汇总_2026-10-27/原始截图/2026-10-25_0008_日历与明细上部.jpg</ns0:v>
      </ns0:c>
    </ns0:row>
    <ns0:row r="65" ht="150" customHeight="1">
      <ns0:c r="A65" s="339" t="str">
        <ns0:v>2026-10-26—2026-11-01</ns0:v>
      </ns0:c>
      <ns0:c r="B65" s="339" t="n">
        <ns0:v>6</ns0:v>
      </ns0:c>
      <ns0:c r="C65" s="339" t="n">
        <ns0:f>MAX(B65-5,0)</ns0:f>
        <ns0:v>1</ns0:v>
      </ns0:c>
      <ns0:c r="D65" s="341" t="n">
        <ns0:f>0</ns0:f>
        <ns0:v>0</ns0:v>
      </ns0:c>
      <ns0:c r="E65" s="342" t="n">
        <ns0:f>ROUND(D65*$B$2/(21.75*8)*2,2)</ns0:f>
        <ns0:v>0</ns0:v>
      </ns0:c>
      <ns0:c r="F65" s="339" t="str">
        <ns0:v>正常工作日5天；全天年假0天；应出勤5天；实际工作日期：10-26、10-27、10-28、10-29、10-30、11-01；假别：10-27调休、请假；10-30调休2小时、请假；11-01大小休；11月加班不计金额</ns0:v>
      </ns0:c>
      <ns0:c r="G65" s="339" t="str">
        <ns0:v>/Users/a./Desktop/飞书考勤留存_2026-10-27/逐日原始打卡截图与汇总_2026-10-27/原始截图/2026-10-26_0003_日历与明细上部.jpg；/Users/a./Desktop/飞书考勤留存_2026-10-27/逐日原始打卡截图与汇总_2026-10-27/原始截图/2026-10-27_当前状态_上部.jpg；/Users/a./Desktop/飞书考勤留存_2026-10-27/逐日原始打卡截图与汇总_2026-10-27/原始截图/2026-10-28_01_日历与完整明细.png；/Users/a./Desktop/飞书考勤留存_2026-10-27/逐日原始打卡截图与汇总_2026-10-27/原始截图/2026-10-29_01_日历与考勤明细.jpg；/Users/a./Desktop/飞书考勤留存_2026-10-27/逐日原始打卡截图与汇总_2026-10-27/原始截图/2026-10-30_01_日历与考勤明细.jpg；/Users/a./Desktop/飞书考勤留存_2026-10-27/逐日原始打卡截图与汇总_2026-10-27/原始截图/2026-10-31_01_日历与完整明细.jpg；/Users/a./Desktop/飞书考勤留存_2026-10-27/逐日原始打卡截图与汇总_2026-10-27/原始截图/2026-11-01_01_日历与打卡上部.jpg</ns0:v>
      </ns0:c>
    </ns0:row>
    <ns0:row r="66" ht="150" customHeight="1">
      <ns0:c r="A66" s="339" t="str">
        <ns0:v>2026-11-02—2026-11-08</ns0:v>
      </ns0:c>
      <ns0:c r="B66" s="339" t="n">
        <ns0:v>2</ns0:v>
      </ns0:c>
      <ns0:c r="C66" s="339" t="n">
        <ns0:f>MAX(B66-2,0)</ns0:f>
        <ns0:v>0</ns0:v>
      </ns0:c>
      <ns0:c r="D66" s="341" t="n">
        <ns0:f>0</ns0:f>
        <ns0:v>0</ns0:v>
      </ns0:c>
      <ns0:c r="E66" s="342" t="n">
        <ns0:f>ROUND(D66*$B$2/(21.75*8)*2,2)</ns0:f>
        <ns0:v>0</ns0:v>
      </ns0:c>
      <ns0:c r="F66" s="339" t="str">
        <ns0:v>正常工作日2天；全天年假0天；应出勤2天；实际工作日期：11-02、11-03；11月加班不计金额</ns0:v>
      </ns0:c>
      <ns0:c r="G66" s="339" t="str">
        <ns0:v>/Users/a./Desktop/飞书考勤留存_2026-10-27/逐日原始打卡截图与汇总_2026-10-27/原始截图/2026-11-02_01_日历与完整打卡明细.jpg；/Users/a./Desktop/飞书考勤留存_2026-10-27/逐日原始打卡截图与汇总_2026-10-27/原始截图/2026-11-03_01_日历与当前打卡明细.jpg</ns0:v>
      </ns0:c>
    </ns0:row>
    <ns0:row r="67" ht="150" customHeight="1">
      <ns0:c r="A67" s="339"/>
      <ns0:c r="B67" s="339"/>
      <ns0:c r="C67" s="339"/>
      <ns0:c r="D67" s="341"/>
      <ns0:c r="E67" s="342"/>
      <ns0:c r="F67" s="339"/>
      <ns0:c r="G67" s="339"/>
    </ns0:row>
    <ns0:row r="68" ht="150" customHeight="1">
      <ns0:c r="A68" s="339"/>
      <ns0:c r="B68" s="339"/>
      <ns0:c r="C68" s="339"/>
      <ns0:c r="D68" s="341"/>
      <ns0:c r="E68" s="342"/>
      <ns0:c r="F68" s="339"/>
      <ns0:c r="G68" s="339"/>
    </ns0:row>
    <ns0:row r="69" ht="150" customHeight="1">
      <ns0:c r="A69" s="339"/>
      <ns0:c r="B69" s="339"/>
      <ns0:c r="C69" s="339"/>
      <ns0:c r="D69" s="341"/>
      <ns0:c r="E69" s="342"/>
      <ns0:c r="F69" s="339"/>
      <ns0:c r="G69" s="339"/>
    </ns0:row>
    <ns0:row r="70" ht="150" customHeight="1">
      <ns0:c r="A70" s="339"/>
      <ns0:c r="B70" s="339"/>
      <ns0:c r="C70" s="339"/>
      <ns0:c r="D70" s="341"/>
      <ns0:c r="E70" s="342"/>
      <ns0:c r="F70" s="339"/>
      <ns0:c r="G70" s="339"/>
    </ns0:row>
  </ns0:sheetData>
  <ns0:pageMargins left="0.7" right="0.7" top="0.75" bottom="0.75" header="0.3" footer="0.3"/>
</ns0:worksheet>
</file>

<file path=xl/worksheets/sheet8.xml><?xml version="1.0" encoding="utf-8"?>
<ns0:worksheet xmlns:ns0="http://schemas.openxmlformats.org/spreadsheetml/2006/main" xmlns:ns1="http://schemas.openxmlformats.org/officeDocument/2006/relationships">
  <ns0:sheetPr>
    <ns0:tabColor rgb="FF17365D"/>
  </ns0:sheetPr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28" hidden="0" customWidth="1"/>
    <ns0:col min="2" max="2" width="22" hidden="0" customWidth="1"/>
    <ns0:col min="3" max="3" width="58" hidden="0" customWidth="1"/>
    <ns0:col min="4" max="4" width="86" hidden="0" customWidth="1"/>
  </ns0:cols>
  <ns0:sheetData>
    <ns0:row r="1" ht="38" customHeight="1">
      <ns0:c r="A1" s="299" t="str">
        <ns0:v>2026年10月24、25日未补休加班明细</ns0:v>
      </ns0:c>
      <ns0:c r="B1" s="299"/>
      <ns0:c r="C1" s="299"/>
    </ns0:row>
    <ns0:row r="3" ht="34" customHeight="1">
      <ns0:c r="A3" s="331" t="str">
        <ns0:v>计算项目</ns0:v>
      </ns0:c>
      <ns0:c r="B3" s="331" t="str">
        <ns0:v>小时／基数</ns0:v>
      </ns0:c>
      <ns0:c r="C3" s="331" t="str">
        <ns0:v>依据</ns0:v>
      </ns0:c>
      <ns0:c r="D3" s="331" t="str">
        <ns0:v>原始文件</ns0:v>
      </ns0:c>
    </ns0:row>
    <ns0:row r="4" ht="39" customHeight="1">
      <ns0:c r="A4" s="315" t="str">
        <ns0:v>10月24日加班审批</ns0:v>
      </ns0:c>
      <ns0:c r="B4" s="315" t="n">
        <ns0:v>8</ns0:v>
      </ns0:c>
      <ns0:c r="C4" s="315" t="str">
        <ns0:v>加班审批编号202610210007，已通过</ns0:v>
      </ns0:c>
      <ns0:c r="D4" s="339" t="str">
        <ns0:v>/Users/a./Desktop/飞书考勤留存_2026-10-27/聊天工作与加班证据/原始截图/2026-10-24_加班审批通过_8小时_原始截图.jpg</ns0:v>
      </ns0:c>
    </ns0:row>
    <ns0:row r="5" ht="39" customHeight="1">
      <ns0:c r="A5" s="315" t="str">
        <ns0:v>10月25日加班审批</ns0:v>
      </ns0:c>
      <ns0:c r="B5" s="315" t="n">
        <ns0:v>8</ns0:v>
      </ns0:c>
      <ns0:c r="C5" s="315" t="str">
        <ns0:v>加班审批编号202610250001，已通过</ns0:v>
      </ns0:c>
      <ns0:c r="D5" s="339" t="str">
        <ns0:v>/Users/a./Desktop/飞书考勤留存_2026-10-27/聊天工作与加班证据/原始截图/2026-10-25_加班审批通过_8小时_原始截图.jpg</ns0:v>
      </ns0:c>
    </ns0:row>
    <ns0:row r="6" ht="39" customHeight="1">
      <ns0:c r="A6" s="315" t="str">
        <ns0:v>审批加班合计</ns0:v>
      </ns0:c>
      <ns0:c r="B6" s="315" t="n">
        <ns0:f>SUM(B4:B5)</ns0:f>
        <ns0:v>16</ns0:v>
      </ns0:c>
      <ns0:c r="C6" s="315"/>
      <ns0:c r="D6" s="339"/>
    </ns0:row>
    <ns0:row r="7" ht="39" customHeight="1">
      <ns0:c r="A7" s="315" t="str">
        <ns0:v>已调休</ns0:v>
      </ns0:c>
      <ns0:c r="B7" s="315" t="n">
        <ns0:v>4</ns0:v>
      </ns0:c>
      <ns0:c r="C7" s="315" t="str">
        <ns0:v>10月27日2小时＋10月30日2小时</ns0:v>
      </ns0:c>
      <ns0:c r="D7" s="339" t="str">
        <ns0:v>/Users/a./Desktop/飞书考勤留存_2026-10-27/审批原图/请假/2026-10-30_调休2小时_审批详情.jpg</ns0:v>
      </ns0:c>
    </ns0:row>
    <ns0:row r="8" ht="39" customHeight="1">
      <ns0:c r="A8" s="315" t="str">
        <ns0:v>尚未补休小时</ns0:v>
      </ns0:c>
      <ns0:c r="B8" s="315" t="n">
        <ns0:f>B6-B7</ns0:f>
        <ns0:v>12</ns0:v>
      </ns0:c>
      <ns0:c r="C8" s="315" t="str">
        <ns0:v>截至10/30系统余额12小时；11/1未发现新审批，不自动增减</ns0:v>
      </ns0:c>
      <ns0:c r="D8" s="339" t="str">
        <ns0:v>/Users/a./Desktop/飞书考勤留存_2026-10-27/审批原图/请假/2026-10-30_调休剩余12小时_系统余额.jpg</ns0:v>
      </ns0:c>
    </ns0:row>
    <ns0:row r="9" ht="39" customHeight="1">
      <ns0:c r="A9" s="315" t="str">
        <ns0:v>统一月平均工资基数</ns0:v>
      </ns0:c>
      <ns0:c r="B9" s="316" t="n">
        <ns0:f>'核算总览'!B3</ns0:f>
        <ns0:v>24359.178888888888</ns0:v>
      </ns0:c>
      <ns0:c r="C9" s="315"/>
      <ns0:c r="D9" s="339" t="str">
        <ns0:v>/Users/a./Desktop/飞书考勤留存_2026-10-27/工资单与加班政策证据_2026-10-27/加班工资及社保公积金补缴试算.xlsx → 核算总览!B5</ns0:v>
      </ns0:c>
    </ns0:row>
    <ns0:row r="10" ht="39" customHeight="1">
      <ns0:c r="A10" s="315" t="str">
        <ns0:v>小时工资</ns0:v>
      </ns0:c>
      <ns0:c r="B10" s="316" t="n">
        <ns0:f>B9/(21.75*8)</ns0:f>
        <ns0:v>139.9952809706258</ns0:v>
      </ns0:c>
      <ns0:c r="C10" s="315"/>
      <ns0:c r="D10" s="339"/>
    </ns0:row>
    <ns0:row r="11" ht="39" customHeight="1">
      <ns0:c r="A11" s="315" t="str">
        <ns0:v>休息日加班倍率</ns0:v>
      </ns0:c>
      <ns0:c r="B11" s="317" t="n">
        <ns0:v>2</ns0:v>
      </ns0:c>
      <ns0:c r="C11" s="315"/>
      <ns0:c r="D11" s="339" t="str">
        <ns0:v>《劳动法》第44条：休息日加班不能补休，按不低于200%支付</ns0:v>
      </ns0:c>
    </ns0:row>
    <ns0:row r="12" ht="36" customHeight="1">
      <ns0:c r="A12" s="350" t="str">
        <ns0:v>未补休加班工资</ns0:v>
      </ns0:c>
      <ns0:c r="B12" s="351" t="n">
        <ns0:f>ROUND(B8*B10*B11,2)</ns0:f>
        <ns0:v>3359.89</ns0:v>
      </ns0:c>
      <ns0:c r="C12" s="350" t="str">
        <ns0:v>12小时×小时工资×200%</ns0:v>
      </ns0:c>
      <ns0:c r="D12" s="350"/>
    </ns0:row>
  </ns0:sheetData>
  <ns0:hyperlinks>
    <ns0:hyperlink ref="D4" ns1:id="R9d6e76deabf74b93"/>
    <ns0:hyperlink ref="D5" ns1:id="R9a26839e030e4815"/>
  </ns0:hyperlinks>
  <ns0:pageMargins left="0.7" right="0.7" top="0.75" bottom="0.75" header="0.3" footer="0.3"/>
</ns0:worksheet>
</file>

<file path=xl/worksheets/sheet9.xml><?xml version="1.0" encoding="utf-8"?>
<ns0:worksheet xmlns:ns0="http://schemas.openxmlformats.org/spreadsheetml/2006/main">
  <ns0:sheetPr>
    <ns0:tabColor rgb="FF17365D"/>
  </ns0:sheetPr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15" hidden="0" customWidth="1"/>
    <ns0:col min="2" max="2" width="18" hidden="0" customWidth="1"/>
    <ns0:col min="3" max="3" width="18" hidden="0" customWidth="1"/>
    <ns0:col min="4" max="4" width="19" hidden="0" customWidth="1"/>
    <ns0:col min="5" max="5" width="19" hidden="0" customWidth="1"/>
    <ns0:col min="6" max="6" width="19" hidden="0" customWidth="1"/>
    <ns0:col min="7" max="7" width="20" hidden="0" customWidth="1"/>
    <ns0:col min="8" max="8" width="75" hidden="0" customWidth="1"/>
  </ns0:cols>
  <ns0:sheetData>
    <ns0:row r="1" ht="40" customHeight="1">
      <ns0:c r="A1" s="354" t="str">
        <ns0:v>社保单位部分补缴试算：2025年12月—2026年11月</ns0:v>
      </ns0:c>
      <ns0:c r="B1" s="354"/>
      <ns0:c r="C1" s="354"/>
      <ns0:c r="D1" s="354"/>
      <ns0:c r="E1" s="354"/>
      <ns0:c r="F1" s="354"/>
      <ns0:c r="G1" s="354"/>
      <ns0:c r="H1" s="354"/>
    </ns0:row>
    <ns0:row r="3" ht="34" customHeight="1">
      <ns0:c r="A3" s="331" t="str">
        <ns0:v>月份</ns0:v>
      </ns0:c>
      <ns0:c r="B3" s="331" t="str">
        <ns0:v>已缴基数列入值</ns0:v>
      </ns0:c>
      <ns0:c r="C3" s="331" t="str">
        <ns0:v>目标基数</ns0:v>
      </ns0:c>
      <ns0:c r="D3" s="331" t="str">
        <ns0:v>养老差额16%</ns0:v>
      </ns0:c>
      <ns0:c r="E3" s="331" t="str">
        <ns0:v>医保含生育9.5%</ns0:v>
      </ns0:c>
      <ns0:c r="F3" s="331" t="str">
        <ns0:v>失业差额0.5%</ns0:v>
      </ns0:c>
      <ns0:c r="G3" s="331" t="str">
        <ns0:v>单位补缴</ns0:v>
      </ns0:c>
      <ns0:c r="H3" s="331" t="str">
        <ns0:v>数据来源／公式</ns0:v>
      </ns0:c>
    </ns0:row>
    <ns0:row r="4" ht="66" customHeight="1">
      <ns0:c r="A4" s="205" t="str">
        <ns0:f>'社保补缴'!A2</ns0:f>
        <ns0:v>2025-12</ns0:v>
      </ns0:c>
      <ns0:c r="B4" s="225" t="n">
        <ns0:f>'社保补缴'!B2</ns0:f>
        <ns0:v>0</ns0:v>
      </ns0:c>
      <ns0:c r="C4" s="225" t="n">
        <ns0:f>'社保补缴'!C2</ns0:f>
        <ns0:v>24359.178888888888</ns0:v>
      </ns0:c>
      <ns0:c r="D4" s="225" t="n">
        <ns0:f>ROUND(C4*16%,2)-ROUND(B4*16%,2)</ns0:f>
        <ns0:v>3897.47</ns0:v>
      </ns0:c>
      <ns0:c r="E4" s="225" t="n">
        <ns0:f>ROUND(C4*9.5%,2)-ROUND(B4*9.5%,2)</ns0:f>
        <ns0:v>2314.12</ns0:v>
      </ns0:c>
      <ns0:c r="F4" s="225" t="n">
        <ns0:f>ROUND(C4*0.5%,2)-ROUND(B4*0.5%,2)</ns0:f>
        <ns0:v>121.8</ns0:v>
      </ns0:c>
      <ns0:c r="G4" s="225" t="n">
        <ns0:f>SUM(D4:F4)</ns0:f>
        <ns0:v>6333.39</ns0:v>
      </ns0:c>
      <ns0:c r="H4" s="309" t="str">
        <ns0:v>2025年12月单位未缴，已缴金额0元；12/19入职，适用月基数待核定，暂按目标月基数核算。</ns0:v>
      </ns0:c>
    </ns0:row>
    <ns0:row r="5" ht="66" customHeight="1">
      <ns0:c r="A5" s="205" t="str">
        <ns0:f>'社保补缴'!A3</ns0:f>
        <ns0:v>2026-01</ns0:v>
      </ns0:c>
      <ns0:c r="B5" s="225" t="n">
        <ns0:f>'社保补缴'!B3</ns0:f>
        <ns0:v>4986</ns0:v>
      </ns0:c>
      <ns0:c r="C5" s="225" t="n">
        <ns0:f>'社保补缴'!C3</ns0:f>
        <ns0:v>24359.178888888888</ns0:v>
      </ns0:c>
      <ns0:c r="D5" s="225" t="n">
        <ns0:f>ROUND(C5*16%,2)-ROUND(B5*16%,2)</ns0:f>
        <ns0:v>3099.71</ns0:v>
      </ns0:c>
      <ns0:c r="E5" s="225" t="n">
        <ns0:f>ROUND(C5*9.5%,2)-ROUND(B5*9.5%,2)</ns0:f>
        <ns0:v>1840.4499999999998</ns0:v>
      </ns0:c>
      <ns0:c r="F5" s="225" t="n">
        <ns0:f>ROUND(C5*0.5%,2)-ROUND(B5*0.5%,2)</ns0:f>
        <ns0:v>96.87</ns0:v>
      </ns0:c>
      <ns0:c r="G5" s="225" t="n">
        <ns0:f>SUM(D5:F5)</ns0:f>
        <ns0:v>5037.03</ns0:v>
      </ns0:c>
      <ns0:c r="H5" s="309" t="str">
        <ns0:v>沿原有4986元基数口径；以正式缴费流水核对。</ns0:v>
      </ns0:c>
    </ns0:row>
    <ns0:row r="6" ht="66" customHeight="1">
      <ns0:c r="A6" s="205" t="str">
        <ns0:f>'社保补缴'!A4</ns0:f>
        <ns0:v>2026-02</ns0:v>
      </ns0:c>
      <ns0:c r="B6" s="225" t="n">
        <ns0:f>'社保补缴'!B4</ns0:f>
        <ns0:v>4986</ns0:v>
      </ns0:c>
      <ns0:c r="C6" s="225" t="n">
        <ns0:f>'社保补缴'!C4</ns0:f>
        <ns0:v>24359.178888888888</ns0:v>
      </ns0:c>
      <ns0:c r="D6" s="225" t="n">
        <ns0:f>ROUND(C6*16%,2)-ROUND(B6*16%,2)</ns0:f>
        <ns0:v>3099.71</ns0:v>
      </ns0:c>
      <ns0:c r="E6" s="225" t="n">
        <ns0:f>ROUND(C6*9.5%,2)-ROUND(B6*9.5%,2)</ns0:f>
        <ns0:v>1840.4499999999998</ns0:v>
      </ns0:c>
      <ns0:c r="F6" s="225" t="n">
        <ns0:f>ROUND(C6*0.5%,2)-ROUND(B6*0.5%,2)</ns0:f>
        <ns0:v>96.87</ns0:v>
      </ns0:c>
      <ns0:c r="G6" s="225" t="n">
        <ns0:f>SUM(D6:F6)</ns0:f>
        <ns0:v>5037.03</ns0:v>
      </ns0:c>
      <ns0:c r="H6" s="309" t="str">
        <ns0:v>沿原有4986元基数口径；以正式缴费流水核对。</ns0:v>
      </ns0:c>
    </ns0:row>
    <ns0:row r="7" ht="66" customHeight="1">
      <ns0:c r="A7" s="205" t="str">
        <ns0:f>'社保补缴'!A5</ns0:f>
        <ns0:v>2026-03</ns0:v>
      </ns0:c>
      <ns0:c r="B7" s="225" t="n">
        <ns0:f>'社保补缴'!B5</ns0:f>
        <ns0:v>4986</ns0:v>
      </ns0:c>
      <ns0:c r="C7" s="225" t="n">
        <ns0:f>'社保补缴'!C5</ns0:f>
        <ns0:v>24359.178888888888</ns0:v>
      </ns0:c>
      <ns0:c r="D7" s="225" t="n">
        <ns0:f>ROUND(C7*16%,2)-ROUND(B7*16%,2)</ns0:f>
        <ns0:v>3099.71</ns0:v>
      </ns0:c>
      <ns0:c r="E7" s="225" t="n">
        <ns0:f>ROUND(C7*9.5%,2)-ROUND(B7*9.5%,2)</ns0:f>
        <ns0:v>1840.4499999999998</ns0:v>
      </ns0:c>
      <ns0:c r="F7" s="225" t="n">
        <ns0:f>ROUND(C7*0.5%,2)-ROUND(B7*0.5%,2)</ns0:f>
        <ns0:v>96.87</ns0:v>
      </ns0:c>
      <ns0:c r="G7" s="225" t="n">
        <ns0:f>SUM(D7:F7)</ns0:f>
        <ns0:v>5037.03</ns0:v>
      </ns0:c>
      <ns0:c r="H7" s="309" t="str">
        <ns0:v>沿原有4986元基数口径；以正式缴费流水核对。</ns0:v>
      </ns0:c>
    </ns0:row>
    <ns0:row r="8" ht="66" customHeight="1">
      <ns0:c r="A8" s="205" t="str">
        <ns0:f>'社保补缴'!A6</ns0:f>
        <ns0:v>2026-04</ns0:v>
      </ns0:c>
      <ns0:c r="B8" s="225" t="n">
        <ns0:f>'社保补缴'!B6</ns0:f>
        <ns0:v>4986</ns0:v>
      </ns0:c>
      <ns0:c r="C8" s="225" t="n">
        <ns0:f>'社保补缴'!C6</ns0:f>
        <ns0:v>24359.178888888888</ns0:v>
      </ns0:c>
      <ns0:c r="D8" s="225" t="n">
        <ns0:f>ROUND(C8*16%,2)-ROUND(B8*16%,2)</ns0:f>
        <ns0:v>3099.71</ns0:v>
      </ns0:c>
      <ns0:c r="E8" s="225" t="n">
        <ns0:f>ROUND(C8*9.5%,2)-ROUND(B8*9.5%,2)</ns0:f>
        <ns0:v>1840.4499999999998</ns0:v>
      </ns0:c>
      <ns0:c r="F8" s="225" t="n">
        <ns0:f>ROUND(C8*0.5%,2)-ROUND(B8*0.5%,2)</ns0:f>
        <ns0:v>96.87</ns0:v>
      </ns0:c>
      <ns0:c r="G8" s="225" t="n">
        <ns0:f>SUM(D8:F8)</ns0:f>
        <ns0:v>5037.03</ns0:v>
      </ns0:c>
      <ns0:c r="H8" s="309" t="str">
        <ns0:v>沿原有4986元基数口径；以正式缴费流水核对。</ns0:v>
      </ns0:c>
    </ns0:row>
    <ns0:row r="9" ht="66" customHeight="1">
      <ns0:c r="A9" s="205" t="str">
        <ns0:f>'社保补缴'!A7</ns0:f>
        <ns0:v>2026-05</ns0:v>
      </ns0:c>
      <ns0:c r="B9" s="225" t="n">
        <ns0:f>'社保补缴'!B7</ns0:f>
        <ns0:v>4986</ns0:v>
      </ns0:c>
      <ns0:c r="C9" s="225" t="n">
        <ns0:f>'社保补缴'!C7</ns0:f>
        <ns0:v>24359.178888888888</ns0:v>
      </ns0:c>
      <ns0:c r="D9" s="225" t="n">
        <ns0:f>ROUND(C9*16%,2)-ROUND(B9*16%,2)</ns0:f>
        <ns0:v>3099.71</ns0:v>
      </ns0:c>
      <ns0:c r="E9" s="225" t="n">
        <ns0:f>ROUND(C9*9.5%,2)-ROUND(B9*9.5%,2)</ns0:f>
        <ns0:v>1840.4499999999998</ns0:v>
      </ns0:c>
      <ns0:c r="F9" s="225" t="n">
        <ns0:f>ROUND(C9*0.5%,2)-ROUND(B9*0.5%,2)</ns0:f>
        <ns0:v>96.87</ns0:v>
      </ns0:c>
      <ns0:c r="G9" s="225" t="n">
        <ns0:f>SUM(D9:F9)</ns0:f>
        <ns0:v>5037.03</ns0:v>
      </ns0:c>
      <ns0:c r="H9" s="309" t="str">
        <ns0:v>沿原有4986元基数口径；以正式缴费流水核对。</ns0:v>
      </ns0:c>
    </ns0:row>
    <ns0:row r="10" ht="66" customHeight="1">
      <ns0:c r="A10" s="205" t="str">
        <ns0:f>'社保补缴'!A8</ns0:f>
        <ns0:v>2026-06</ns0:v>
      </ns0:c>
      <ns0:c r="B10" s="225" t="n">
        <ns0:f>'社保补缴'!B8</ns0:f>
        <ns0:v>4986</ns0:v>
      </ns0:c>
      <ns0:c r="C10" s="225" t="n">
        <ns0:f>'社保补缴'!C8</ns0:f>
        <ns0:v>24359.178888888888</ns0:v>
      </ns0:c>
      <ns0:c r="D10" s="225" t="n">
        <ns0:f>ROUND(C10*16%,2)-ROUND(B10*16%,2)</ns0:f>
        <ns0:v>3099.71</ns0:v>
      </ns0:c>
      <ns0:c r="E10" s="225" t="n">
        <ns0:f>ROUND(C10*9.5%,2)-ROUND(B10*9.5%,2)</ns0:f>
        <ns0:v>1840.4499999999998</ns0:v>
      </ns0:c>
      <ns0:c r="F10" s="225" t="n">
        <ns0:f>ROUND(C10*0.5%,2)-ROUND(B10*0.5%,2)</ns0:f>
        <ns0:v>96.87</ns0:v>
      </ns0:c>
      <ns0:c r="G10" s="225" t="n">
        <ns0:f>SUM(D10:F10)</ns0:f>
        <ns0:v>5037.03</ns0:v>
      </ns0:c>
      <ns0:c r="H10" s="309" t="str">
        <ns0:v>沿原有4986元基数口径；以正式缴费流水核对。</ns0:v>
      </ns0:c>
    </ns0:row>
    <ns0:row r="11" ht="66" customHeight="1">
      <ns0:c r="A11" s="205" t="str">
        <ns0:f>'社保补缴'!A9</ns0:f>
        <ns0:v>2026-07</ns0:v>
      </ns0:c>
      <ns0:c r="B11" s="225" t="n">
        <ns0:f>'社保补缴'!B9</ns0:f>
        <ns0:v>4986</ns0:v>
      </ns0:c>
      <ns0:c r="C11" s="225" t="n">
        <ns0:f>'社保补缴'!C9</ns0:f>
        <ns0:v>24359.178888888888</ns0:v>
      </ns0:c>
      <ns0:c r="D11" s="225" t="n">
        <ns0:f>ROUND(C11*16%,2)-ROUND(B11*16%,2)</ns0:f>
        <ns0:v>3099.71</ns0:v>
      </ns0:c>
      <ns0:c r="E11" s="225" t="n">
        <ns0:f>ROUND(C11*9.5%,2)-ROUND(B11*9.5%,2)</ns0:f>
        <ns0:v>1840.4499999999998</ns0:v>
      </ns0:c>
      <ns0:c r="F11" s="225" t="n">
        <ns0:f>ROUND(C11*0.5%,2)-ROUND(B11*0.5%,2)</ns0:f>
        <ns0:v>96.87</ns0:v>
      </ns0:c>
      <ns0:c r="G11" s="225" t="n">
        <ns0:f>SUM(D11:F11)</ns0:f>
        <ns0:v>5037.03</ns0:v>
      </ns0:c>
      <ns0:c r="H11" s="309" t="str">
        <ns0:v>沿原有4986元基数口径；以正式缴费流水核对。</ns0:v>
      </ns0:c>
    </ns0:row>
    <ns0:row r="12" ht="66" customHeight="1">
      <ns0:c r="A12" s="205" t="str">
        <ns0:f>'社保补缴'!A10</ns0:f>
        <ns0:v>2026-08</ns0:v>
      </ns0:c>
      <ns0:c r="B12" s="225" t="n">
        <ns0:f>'社保补缴'!B10</ns0:f>
        <ns0:v>4986</ns0:v>
      </ns0:c>
      <ns0:c r="C12" s="225" t="n">
        <ns0:f>'社保补缴'!C10</ns0:f>
        <ns0:v>24359.178888888888</ns0:v>
      </ns0:c>
      <ns0:c r="D12" s="225" t="n">
        <ns0:f>ROUND(C12*16%,2)-ROUND(B12*16%,2)</ns0:f>
        <ns0:v>3099.71</ns0:v>
      </ns0:c>
      <ns0:c r="E12" s="225" t="n">
        <ns0:f>ROUND(C12*9.5%,2)-ROUND(B12*9.5%,2)</ns0:f>
        <ns0:v>1840.4499999999998</ns0:v>
      </ns0:c>
      <ns0:c r="F12" s="225" t="n">
        <ns0:f>ROUND(C12*0.5%,2)-ROUND(B12*0.5%,2)</ns0:f>
        <ns0:v>96.87</ns0:v>
      </ns0:c>
      <ns0:c r="G12" s="225" t="n">
        <ns0:f>SUM(D12:F12)</ns0:f>
        <ns0:v>5037.03</ns0:v>
      </ns0:c>
      <ns0:c r="H12" s="309" t="str">
        <ns0:v>沿原有4986元基数口径；以正式缴费流水核对。</ns0:v>
      </ns0:c>
    </ns0:row>
    <ns0:row r="13" ht="66" customHeight="1">
      <ns0:c r="A13" s="205" t="str">
        <ns0:f>'社保补缴'!A11</ns0:f>
        <ns0:v>2026-09</ns0:v>
      </ns0:c>
      <ns0:c r="B13" s="225" t="n">
        <ns0:f>'社保补缴'!B11</ns0:f>
        <ns0:v>4986</ns0:v>
      </ns0:c>
      <ns0:c r="C13" s="225" t="n">
        <ns0:f>'社保补缴'!C11</ns0:f>
        <ns0:v>24359.178888888888</ns0:v>
      </ns0:c>
      <ns0:c r="D13" s="225" t="n">
        <ns0:f>ROUND(C13*16%,2)-ROUND(B13*16%,2)</ns0:f>
        <ns0:v>3099.71</ns0:v>
      </ns0:c>
      <ns0:c r="E13" s="225" t="n">
        <ns0:f>ROUND(C13*9.5%,2)-ROUND(B13*9.5%,2)</ns0:f>
        <ns0:v>1840.4499999999998</ns0:v>
      </ns0:c>
      <ns0:c r="F13" s="225" t="n">
        <ns0:f>ROUND(C13*0.5%,2)-ROUND(B13*0.5%,2)</ns0:f>
        <ns0:v>96.87</ns0:v>
      </ns0:c>
      <ns0:c r="G13" s="225" t="n">
        <ns0:f>SUM(D13:F13)</ns0:f>
        <ns0:v>5037.03</ns0:v>
      </ns0:c>
      <ns0:c r="H13" s="309" t="str">
        <ns0:v>沿原有4986元基数口径；以正式缴费流水核对。</ns0:v>
      </ns0:c>
    </ns0:row>
    <ns0:row r="14" ht="66" customHeight="1">
      <ns0:c r="A14" s="205" t="str">
        <ns0:f>'社保补缴'!A12</ns0:f>
        <ns0:v>2026-10</ns0:v>
      </ns0:c>
      <ns0:c r="B14" s="225" t="n">
        <ns0:f>'社保补缴'!B12</ns0:f>
        <ns0:v>4986</ns0:v>
      </ns0:c>
      <ns0:c r="C14" s="225" t="n">
        <ns0:f>'社保补缴'!C12</ns0:f>
        <ns0:v>24359.178888888888</ns0:v>
      </ns0:c>
      <ns0:c r="D14" s="225" t="n">
        <ns0:f>ROUND(C14*16%,2)-ROUND(B14*16%,2)</ns0:f>
        <ns0:v>3099.71</ns0:v>
      </ns0:c>
      <ns0:c r="E14" s="225" t="n">
        <ns0:f>ROUND(C14*9.5%,2)-ROUND(B14*9.5%,2)</ns0:f>
        <ns0:v>1840.4499999999998</ns0:v>
      </ns0:c>
      <ns0:c r="F14" s="225" t="n">
        <ns0:f>ROUND(C14*0.5%,2)-ROUND(B14*0.5%,2)</ns0:f>
        <ns0:v>96.87</ns0:v>
      </ns0:c>
      <ns0:c r="G14" s="225" t="n">
        <ns0:f>SUM(D14:F14)</ns0:f>
        <ns0:v>5037.03</ns0:v>
      </ns0:c>
      <ns0:c r="H14" s="309" t="str">
        <ns0:v>沿原有4986元基数口径；以正式缴费流水核对。</ns0:v>
      </ns0:c>
    </ns0:row>
    <ns0:row r="15" ht="66" customHeight="1">
      <ns0:c r="A15" s="205" t="str">
        <ns0:f>'社保补缴'!A13</ns0:f>
        <ns0:v>2026-11</ns0:v>
      </ns0:c>
      <ns0:c r="B15" s="225" t="n">
        <ns0:f>'社保补缴'!B13</ns0:f>
        <ns0:v>0</ns0:v>
      </ns0:c>
      <ns0:c r="C15" s="225" t="n">
        <ns0:f>'社保补缴'!C13</ns0:f>
        <ns0:v>24359.178888888888</ns0:v>
      </ns0:c>
      <ns0:c r="D15" s="225" t="n">
        <ns0:f>ROUND(C15*16%,2)-ROUND(B15*16%,2)</ns0:f>
        <ns0:v>3897.47</ns0:v>
      </ns0:c>
      <ns0:c r="E15" s="225" t="n">
        <ns0:f>ROUND(C15*9.5%,2)-ROUND(B15*9.5%,2)</ns0:f>
        <ns0:v>2314.12</ns0:v>
      </ns0:c>
      <ns0:c r="F15" s="225" t="n">
        <ns0:f>ROUND(C15*0.5%,2)-ROUND(B15*0.5%,2)</ns0:f>
        <ns0:v>121.8</ns0:v>
      </ns0:c>
      <ns0:c r="G15" s="225" t="n">
        <ns0:f>SUM(D15:F15)</ns0:f>
        <ns0:v>6333.39</ns0:v>
      </ns0:c>
      <ns0:c r="H15" s="309" t="str">
        <ns0:v>11月单位尚未缴纳，已缴金额为0元。</ns0:v>
      </ns0:c>
    </ns0:row>
    <ns0:row r="16">
      <ns0:c r="A16" s="205"/>
      <ns0:c r="B16" s="205"/>
      <ns0:c r="C16" s="205"/>
      <ns0:c r="D16" s="205"/>
      <ns0:c r="E16" s="205"/>
      <ns0:c r="F16" s="205"/>
      <ns0:c r="G16" s="205"/>
      <ns0:c r="H16" s="309"/>
    </ns0:row>
    <ns0:row r="17" ht="36" customHeight="1">
      <ns0:c r="A17" s="418" t="str">
        <ns0:v>单位补缴试算合计（不含工伤）</ns0:v>
      </ns0:c>
      <ns0:c r="B17" s="418"/>
      <ns0:c r="C17" s="418"/>
      <ns0:c r="D17" s="419" t="n">
        <ns0:f>SUM(D4:D15)</ns0:f>
        <ns0:v>38792.03999999999</ns0:v>
      </ns0:c>
      <ns0:c r="E17" s="419" t="n">
        <ns0:f>SUM(E4:E15)</ns0:f>
        <ns0:v>23032.74</ns0:v>
      </ns0:c>
      <ns0:c r="F17" s="419" t="n">
        <ns0:f>SUM(F4:F15)</ns0:f>
        <ns0:v>1212.3</ns0:v>
      </ns0:c>
      <ns0:c r="G17" s="419" t="n">
        <ns0:f>SUM(G4:G15)</ns0:f>
        <ns0:v>63037.079999999994</ns0:v>
      </ns0:c>
      <ns0:c r="H17" s="414"/>
    </ns0:row>
    <ns0:row r="19" ht="90" customHeight="1">
      <ns0:c r="A19" s="410" t="str">
        <ns0:v>计算口径</ns0:v>
      </ns0:c>
      <ns0:c r="B19" s="410"/>
      <ns0:c r="C19" s="410"/>
      <ns0:c r="D19" s="410"/>
      <ns0:c r="E19" s="410"/>
      <ns0:c r="F19" s="410"/>
      <ns0:c r="G19" s="410"/>
      <ns0:c r="H19" s="410" t="str">
        <ns0:v>2025年12月及2026年11月单位尚未缴纳，已缴金额为0元。12/19入职月适用基数待核定；目标基数按2026年1—9月完整工资月平均核算。</ns0:v>
      </ns0:c>
    </ns0:row>
  </ns0:sheetData>
  <ns0:pageMargins left="0.7" right="0.7" top="0.75" bottom="0.75" header="0.3" footer="0.3"/>
</ns0:worksheet>
</file>

<file path=xl/worksheets/sheet10.xml><?xml version="1.0" encoding="utf-8"?>
<ns0:worksheet xmlns:ns0="http://schemas.openxmlformats.org/spreadsheetml/2006/main">
  <ns0:sheetPr>
    <ns0:tabColor rgb="FF17365D"/>
  </ns0:sheetPr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17" hidden="0" customWidth="1"/>
    <ns0:col min="2" max="2" width="19" hidden="0" customWidth="1"/>
    <ns0:col min="3" max="3" width="21" hidden="0" customWidth="1"/>
    <ns0:col min="4" max="4" width="20" hidden="0" customWidth="1"/>
    <ns0:col min="5" max="5" width="21" hidden="0" customWidth="1"/>
    <ns0:col min="6" max="6" width="85" hidden="0" customWidth="1"/>
  </ns0:cols>
  <ns0:sheetData>
    <ns0:row r="1" ht="40" customHeight="1">
      <ns0:c r="A1" s="354" t="str">
        <ns0:v>公积金单位部分补缴试算：2026年1—11月</ns0:v>
      </ns0:c>
      <ns0:c r="B1" s="354"/>
      <ns0:c r="C1" s="354"/>
      <ns0:c r="D1" s="354"/>
      <ns0:c r="E1" s="354"/>
      <ns0:c r="F1" s="354"/>
    </ns0:row>
    <ns0:row r="3" ht="34" customHeight="1">
      <ns0:c r="A3" s="331" t="str">
        <ns0:v>月份</ns0:v>
      </ns0:c>
      <ns0:c r="B3" s="331" t="str">
        <ns0:v>目标基数</ns0:v>
      </ns0:c>
      <ns0:c r="C3" s="331" t="str">
        <ns0:v>单位应缴5%</ns0:v>
      </ns0:c>
      <ns0:c r="D3" s="331" t="str">
        <ns0:v>已缴额列入值</ns0:v>
      </ns0:c>
      <ns0:c r="E3" s="331" t="str">
        <ns0:v>单位补缴</ns0:v>
      </ns0:c>
      <ns0:c r="F3" s="331" t="str">
        <ns0:v>数据来源／公式</ns0:v>
      </ns0:c>
    </ns0:row>
    <ns0:row r="4" ht="66" customHeight="1">
      <ns0:c r="A4" s="205" t="str">
        <ns0:f>'公积金补缴'!A2</ns0:f>
        <ns0:v>2026-01</ns0:v>
      </ns0:c>
      <ns0:c r="B4" s="225" t="n">
        <ns0:f>'公积金补缴'!C2</ns0:f>
        <ns0:v>24359.178888888888</ns0:v>
      </ns0:c>
      <ns0:c r="C4" s="225" t="n">
        <ns0:f>ROUND(B4*5%,0)</ns0:f>
        <ns0:v>1218</ns0:v>
      </ns0:c>
      <ns0:c r="D4" s="225" t="n">
        <ns0:f>'公积金补缴'!F2</ns0:f>
        <ns0:v>125</ns0:v>
      </ns0:c>
      <ns0:c r="E4" s="225" t="n">
        <ns0:f>C4-D4</ns0:f>
        <ns0:v>1093</ns0:v>
      </ns0:c>
      <ns0:c r="F4" s="309" t="str">
        <ns0:v>沿原缴存分月记录；单位部分按5%试算。</ns0:v>
      </ns0:c>
    </ns0:row>
    <ns0:row r="5" ht="66" customHeight="1">
      <ns0:c r="A5" s="205" t="str">
        <ns0:f>'公积金补缴'!A3</ns0:f>
        <ns0:v>2026-02</ns0:v>
      </ns0:c>
      <ns0:c r="B5" s="225" t="n">
        <ns0:f>'公积金补缴'!C3</ns0:f>
        <ns0:v>24359.178888888888</ns0:v>
      </ns0:c>
      <ns0:c r="C5" s="225" t="n">
        <ns0:f>ROUND(B5*5%,0)</ns0:f>
        <ns0:v>1218</ns0:v>
      </ns0:c>
      <ns0:c r="D5" s="225" t="n">
        <ns0:f>'公积金补缴'!F3</ns0:f>
        <ns0:v>125</ns0:v>
      </ns0:c>
      <ns0:c r="E5" s="225" t="n">
        <ns0:f>C5-D5</ns0:f>
        <ns0:v>1093</ns0:v>
      </ns0:c>
      <ns0:c r="F5" s="309" t="str">
        <ns0:v>沿原缴存分月记录；单位部分按5%试算。</ns0:v>
      </ns0:c>
    </ns0:row>
    <ns0:row r="6" ht="66" customHeight="1">
      <ns0:c r="A6" s="205" t="str">
        <ns0:f>'公积金补缴'!A4</ns0:f>
        <ns0:v>2026-03</ns0:v>
      </ns0:c>
      <ns0:c r="B6" s="225" t="n">
        <ns0:f>'公积金补缴'!C4</ns0:f>
        <ns0:v>24359.178888888888</ns0:v>
      </ns0:c>
      <ns0:c r="C6" s="225" t="n">
        <ns0:f>ROUND(B6*5%,0)</ns0:f>
        <ns0:v>1218</ns0:v>
      </ns0:c>
      <ns0:c r="D6" s="225" t="n">
        <ns0:f>'公积金补缴'!F4</ns0:f>
        <ns0:v>125</ns0:v>
      </ns0:c>
      <ns0:c r="E6" s="225" t="n">
        <ns0:f>C6-D6</ns0:f>
        <ns0:v>1093</ns0:v>
      </ns0:c>
      <ns0:c r="F6" s="309" t="str">
        <ns0:v>沿原缴存分月记录；单位部分按5%试算。</ns0:v>
      </ns0:c>
    </ns0:row>
    <ns0:row r="7" ht="66" customHeight="1">
      <ns0:c r="A7" s="205" t="str">
        <ns0:f>'公积金补缴'!A5</ns0:f>
        <ns0:v>2026-04</ns0:v>
      </ns0:c>
      <ns0:c r="B7" s="225" t="n">
        <ns0:f>'公积金补缴'!C5</ns0:f>
        <ns0:v>24359.178888888888</ns0:v>
      </ns0:c>
      <ns0:c r="C7" s="225" t="n">
        <ns0:f>ROUND(B7*5%,0)</ns0:f>
        <ns0:v>1218</ns0:v>
      </ns0:c>
      <ns0:c r="D7" s="225" t="n">
        <ns0:f>'公积金补缴'!F5</ns0:f>
        <ns0:v>125</ns0:v>
      </ns0:c>
      <ns0:c r="E7" s="225" t="n">
        <ns0:f>C7-D7</ns0:f>
        <ns0:v>1093</ns0:v>
      </ns0:c>
      <ns0:c r="F7" s="309" t="str">
        <ns0:v>沿原缴存分月记录；单位部分按5%试算。</ns0:v>
      </ns0:c>
    </ns0:row>
    <ns0:row r="8" ht="66" customHeight="1">
      <ns0:c r="A8" s="205" t="str">
        <ns0:f>'公积金补缴'!A6</ns0:f>
        <ns0:v>2026-05</ns0:v>
      </ns0:c>
      <ns0:c r="B8" s="225" t="n">
        <ns0:f>'公积金补缴'!C6</ns0:f>
        <ns0:v>24359.178888888888</ns0:v>
      </ns0:c>
      <ns0:c r="C8" s="225" t="n">
        <ns0:f>ROUND(B8*5%,0)</ns0:f>
        <ns0:v>1218</ns0:v>
      </ns0:c>
      <ns0:c r="D8" s="225" t="n">
        <ns0:f>'公积金补缴'!F6</ns0:f>
        <ns0:v>125</ns0:v>
      </ns0:c>
      <ns0:c r="E8" s="225" t="n">
        <ns0:f>C8-D8</ns0:f>
        <ns0:v>1093</ns0:v>
      </ns0:c>
      <ns0:c r="F8" s="309" t="str">
        <ns0:v>沿原缴存分月记录；单位部分按5%试算。</ns0:v>
      </ns0:c>
    </ns0:row>
    <ns0:row r="9" ht="66" customHeight="1">
      <ns0:c r="A9" s="205" t="str">
        <ns0:f>'公积金补缴'!A7</ns0:f>
        <ns0:v>2026-06</ns0:v>
      </ns0:c>
      <ns0:c r="B9" s="225" t="n">
        <ns0:f>'公积金补缴'!C7</ns0:f>
        <ns0:v>24359.178888888888</ns0:v>
      </ns0:c>
      <ns0:c r="C9" s="225" t="n">
        <ns0:f>ROUND(B9*5%,0)</ns0:f>
        <ns0:v>1218</ns0:v>
      </ns0:c>
      <ns0:c r="D9" s="225" t="n">
        <ns0:f>'公积金补缴'!F7</ns0:f>
        <ns0:v>125</ns0:v>
      </ns0:c>
      <ns0:c r="E9" s="225" t="n">
        <ns0:f>C9-D9</ns0:f>
        <ns0:v>1093</ns0:v>
      </ns0:c>
      <ns0:c r="F9" s="309" t="str">
        <ns0:v>沿原缴存分月记录；单位部分按5%试算。</ns0:v>
      </ns0:c>
    </ns0:row>
    <ns0:row r="10" ht="66" customHeight="1">
      <ns0:c r="A10" s="205" t="str">
        <ns0:f>'公积金补缴'!A8</ns0:f>
        <ns0:v>2026-07</ns0:v>
      </ns0:c>
      <ns0:c r="B10" s="225" t="n">
        <ns0:f>'公积金补缴'!C8</ns0:f>
        <ns0:v>24359.178888888888</ns0:v>
      </ns0:c>
      <ns0:c r="C10" s="225" t="n">
        <ns0:f>ROUND(B10*5%,0)</ns0:f>
        <ns0:v>1218</ns0:v>
      </ns0:c>
      <ns0:c r="D10" s="225" t="n">
        <ns0:f>'公积金补缴'!F8</ns0:f>
        <ns0:v>133</ns0:v>
      </ns0:c>
      <ns0:c r="E10" s="225" t="n">
        <ns0:f>C10-D10</ns0:f>
        <ns0:v>1085</ns0:v>
      </ns0:c>
      <ns0:c r="F10" s="309" t="str">
        <ns0:v>沿原缴存分月记录；单位部分按5%试算。</ns0:v>
      </ns0:c>
    </ns0:row>
    <ns0:row r="11" ht="66" customHeight="1">
      <ns0:c r="A11" s="205" t="str">
        <ns0:f>'公积金补缴'!A9</ns0:f>
        <ns0:v>2026-08</ns0:v>
      </ns0:c>
      <ns0:c r="B11" s="225" t="n">
        <ns0:f>'公积金补缴'!C9</ns0:f>
        <ns0:v>24359.178888888888</ns0:v>
      </ns0:c>
      <ns0:c r="C11" s="225" t="n">
        <ns0:f>ROUND(B11*5%,0)</ns0:f>
        <ns0:v>1218</ns0:v>
      </ns0:c>
      <ns0:c r="D11" s="225" t="n">
        <ns0:f>'公积金补缴'!F9</ns0:f>
        <ns0:v>133</ns0:v>
      </ns0:c>
      <ns0:c r="E11" s="225" t="n">
        <ns0:f>C11-D11</ns0:f>
        <ns0:v>1085</ns0:v>
      </ns0:c>
      <ns0:c r="F11" s="309" t="str">
        <ns0:v>沿原缴存分月记录；单位部分按5%试算。</ns0:v>
      </ns0:c>
    </ns0:row>
    <ns0:row r="12" ht="66" customHeight="1">
      <ns0:c r="A12" s="205" t="str">
        <ns0:f>'公积金补缴'!A10</ns0:f>
        <ns0:v>2026-09</ns0:v>
      </ns0:c>
      <ns0:c r="B12" s="225" t="n">
        <ns0:f>'公积金补缴'!C10</ns0:f>
        <ns0:v>24359.178888888888</ns0:v>
      </ns0:c>
      <ns0:c r="C12" s="225" t="n">
        <ns0:f>ROUND(B12*5%,0)</ns0:f>
        <ns0:v>1218</ns0:v>
      </ns0:c>
      <ns0:c r="D12" s="225" t="n">
        <ns0:f>'公积金补缴'!F10</ns0:f>
        <ns0:v>133</ns0:v>
      </ns0:c>
      <ns0:c r="E12" s="225" t="n">
        <ns0:f>C12-D12</ns0:f>
        <ns0:v>1085</ns0:v>
      </ns0:c>
      <ns0:c r="F12" s="309" t="str">
        <ns0:v>沿原缴存分月记录；单位部分按5%试算。</ns0:v>
      </ns0:c>
    </ns0:row>
    <ns0:row r="13" ht="66" customHeight="1">
      <ns0:c r="A13" s="205" t="str">
        <ns0:f>'公积金补缴'!A11</ns0:f>
        <ns0:v>2026-10</ns0:v>
      </ns0:c>
      <ns0:c r="B13" s="225" t="n">
        <ns0:f>'公积金补缴'!C11</ns0:f>
        <ns0:v>24359.178888888888</ns0:v>
      </ns0:c>
      <ns0:c r="C13" s="225" t="n">
        <ns0:f>ROUND(B13*5%,0)</ns0:f>
        <ns0:v>1218</ns0:v>
      </ns0:c>
      <ns0:c r="D13" s="225" t="n">
        <ns0:f>'公积金补缴'!F11</ns0:f>
        <ns0:v>133</ns0:v>
      </ns0:c>
      <ns0:c r="E13" s="225" t="n">
        <ns0:f>C13-D13</ns0:f>
        <ns0:v>1085</ns0:v>
      </ns0:c>
      <ns0:c r="F13" s="309" t="str">
        <ns0:v>10月单位已缴133元沿既有估算口径，参照9月。</ns0:v>
      </ns0:c>
    </ns0:row>
    <ns0:row r="14" ht="66" customHeight="1">
      <ns0:c r="A14" s="205" t="str">
        <ns0:f>'公积金补缴'!A12</ns0:f>
        <ns0:v>2026-11</ns0:v>
      </ns0:c>
      <ns0:c r="B14" s="225" t="n">
        <ns0:f>'公积金补缴'!C12</ns0:f>
        <ns0:v>24359.178888888888</ns0:v>
      </ns0:c>
      <ns0:c r="C14" s="225" t="n">
        <ns0:f>ROUND(B14*5%,0)</ns0:f>
        <ns0:v>1218</ns0:v>
      </ns0:c>
      <ns0:c r="D14" s="225" t="n">
        <ns0:f>'公积金补缴'!F12</ns0:f>
        <ns0:v>0</ns0:v>
      </ns0:c>
      <ns0:c r="E14" s="225" t="n">
        <ns0:f>C14-D14</ns0:f>
        <ns0:v>1218</ns0:v>
      </ns0:c>
      <ns0:c r="F14" s="309" t="str">
        <ns0:v>11月单位尚未缴纳，已缴金额为0元。</ns0:v>
      </ns0:c>
    </ns0:row>
    <ns0:row r="15" ht="36" customHeight="1">
      <ns0:c r="A15" s="350"/>
      <ns0:c r="B15" s="351"/>
      <ns0:c r="C15" s="351"/>
      <ns0:c r="D15" s="351"/>
      <ns0:c r="E15" s="351"/>
      <ns0:c r="F15" s="350"/>
    </ns0:row>
    <ns0:row r="16" ht="36" customHeight="1">
      <ns0:c r="A16" s="418" t="str">
        <ns0:v>公积金单位补缴试算合计</ns0:v>
      </ns0:c>
      <ns0:c r="B16" s="418"/>
      <ns0:c r="C16" s="419" t="n">
        <ns0:f>SUM(C4:C14)</ns0:f>
        <ns0:v>13398</ns0:v>
      </ns0:c>
      <ns0:c r="D16" s="419" t="n">
        <ns0:f>SUM(D4:D14)</ns0:f>
        <ns0:v>1282</ns0:v>
      </ns0:c>
      <ns0:c r="E16" s="419" t="n">
        <ns0:f>SUM(E4:E14)</ns0:f>
        <ns0:v>12116</ns0:v>
      </ns0:c>
      <ns0:c r="F16" s="414"/>
    </ns0:row>
    <ns0:row r="17" ht="68" customHeight="1">
      <ns0:c r="A17" s="205"/>
      <ns0:c r="B17" s="205"/>
      <ns0:c r="C17" s="205"/>
      <ns0:c r="D17" s="205"/>
      <ns0:c r="E17" s="205"/>
      <ns0:c r="F17" s="309"/>
    </ns0:row>
    <ns0:row r="18" ht="90" customHeight="1">
      <ns0:c r="A18" s="410" t="str">
        <ns0:v>计算口径</ns0:v>
      </ns0:c>
      <ns0:c r="B18" s="410"/>
      <ns0:c r="C18" s="410"/>
      <ns0:c r="D18" s="410"/>
      <ns0:c r="E18" s="410"/>
      <ns0:c r="F18" s="410" t="str">
        <ns0:v>11月单位尚未缴纳，已缴金额为0元。1—6月125元、7—9月133元，10月暂按133元，待缴费流水核对；单位应缴按目标基数×5%取整。</ns0:v>
      </ns0:c>
    </ns0:row>
  </ns0:sheetData>
  <ns0:pageMargins left="0.7" right="0.7" top="0.75" bottom="0.75" header="0.3" footer="0.3"/>
</ns0:worksheet>
</file>

<file path=xl/worksheets/sheet11.xml><?xml version="1.0" encoding="utf-8"?>
<ns0:worksheet xmlns:ns0="http://schemas.openxmlformats.org/spreadsheetml/2006/main">
  <ns0:sheetPr>
    <ns0:tabColor rgb="FFB66B00"/>
  </ns0:sheetPr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24" hidden="0" customWidth="1"/>
    <ns0:col min="2" max="2" width="24" hidden="0" customWidth="1"/>
    <ns0:col min="3" max="3" width="26" hidden="0" customWidth="1"/>
    <ns0:col min="4" max="4" width="18" hidden="0" customWidth="1"/>
    <ns0:col min="5" max="5" width="16" hidden="0" customWidth="1"/>
    <ns0:col min="6" max="6" width="22" hidden="0" customWidth="1"/>
    <ns0:col min="7" max="7" width="96" hidden="0" customWidth="1"/>
  </ns0:cols>
  <ns0:sheetData>
    <ns0:row r="1" ht="40" customHeight="1">
      <ns0:c r="A1" s="386" t="str">
        <ns0:v>社保单位补缴差额滞纳金明细</ns0:v>
      </ns0:c>
      <ns0:c r="B1" s="386"/>
      <ns0:c r="C1" s="386"/>
      <ns0:c r="D1" s="386"/>
      <ns0:c r="E1" s="386"/>
      <ns0:c r="F1" s="386"/>
      <ns0:c r="G1" s="386"/>
    </ns0:row>
    <ns0:row r="2">
      <ns0:c r="A2" s="205" t="str">
        <ns0:v>计算截至日</ns0:v>
      </ns0:c>
      <ns0:c r="B2" s="400" t="n">
        <ns0:f>'核算总览'!B2</ns0:f>
        <ns0:v>46330</ns0:v>
      </ns0:c>
      <ns0:c r="C2" s="205"/>
      <ns0:c r="D2" s="205" t="str">
        <ns0:v>日滞纳金比例</ns0:v>
      </ns0:c>
      <ns0:c r="E2" s="401" t="n">
        <ns0:v>0.0005</ns0:v>
      </ns0:c>
      <ns0:c r="F2" s="205"/>
      <ns0:c r="G2" s="205"/>
    </ns0:row>
    <ns0:row r="3" ht="42" customHeight="1">
      <ns0:c r="A3" s="393" t="str">
        <ns0:v>社保所属月</ns0:v>
      </ns0:c>
      <ns0:c r="B3" s="393" t="str">
        <ns0:v>单位应补缴差额</ns0:v>
      </ns0:c>
      <ns0:c r="C3" s="393" t="str">
        <ns0:v>所属期缴费截止日（假设）</ns0:v>
      </ns0:c>
      <ns0:c r="D3" s="393" t="str">
        <ns0:v>欠缴天数</ns0:v>
      </ns0:c>
      <ns0:c r="E3" s="393" t="str">
        <ns0:v>日比例</ns0:v>
      </ns0:c>
      <ns0:c r="F3" s="393" t="str">
        <ns0:v>滞纳金</ns0:v>
      </ns0:c>
      <ns0:c r="G3" s="393" t="str">
        <ns0:v>依据／计算公式</ns0:v>
      </ns0:c>
    </ns0:row>
    <ns0:row r="4" ht="43" customHeight="1">
      <ns0:c r="A4" s="205" t="str">
        <ns0:f>'社保单位补缴明细'!A5</ns0:f>
        <ns0:v>2026-01</ns0:v>
      </ns0:c>
      <ns0:c r="B4" s="225" t="n">
        <ns0:f>'社保单位补缴明细'!G5</ns0:f>
        <ns0:v>5037.03</ns0:v>
      </ns0:c>
      <ns0:c r="C4" s="400" t="n">
        <ns0:f>DATE(2026,2,15)</ns0:f>
        <ns0:v>46068</ns0:v>
      </ns0:c>
      <ns0:c r="D4" s="404" t="n">
        <ns0:f>MAX(0,$B$2-C4)</ns0:f>
        <ns0:v>262</ns0:v>
      </ns0:c>
      <ns0:c r="E4" s="401" t="n">
        <ns0:f>$E$2</ns0:f>
        <ns0:v>0.0005</ns0:v>
      </ns0:c>
      <ns0:c r="F4" s="225" t="n">
        <ns0:f>ROUND(B4*D4*E4,2)</ns0:f>
        <ns0:v>659.85</ns0:v>
      </ns0:c>
      <ns0:c r="G4" s="309" t="str">
        <ns0:v>单位补缴差额×欠缴天数×0.05%；按所属月次月15日后起算。</ns0:v>
      </ns0:c>
    </ns0:row>
    <ns0:row r="5" ht="43" customHeight="1">
      <ns0:c r="A5" s="205" t="str">
        <ns0:f>'社保单位补缴明细'!A6</ns0:f>
        <ns0:v>2026-02</ns0:v>
      </ns0:c>
      <ns0:c r="B5" s="225" t="n">
        <ns0:f>'社保单位补缴明细'!G6</ns0:f>
        <ns0:v>5037.03</ns0:v>
      </ns0:c>
      <ns0:c r="C5" s="400" t="n">
        <ns0:f>DATE(2026,3,15)</ns0:f>
        <ns0:v>46096</ns0:v>
      </ns0:c>
      <ns0:c r="D5" s="404" t="n">
        <ns0:f>MAX(0,$B$2-C5)</ns0:f>
        <ns0:v>234</ns0:v>
      </ns0:c>
      <ns0:c r="E5" s="401" t="n">
        <ns0:f>$E$2</ns0:f>
        <ns0:v>0.0005</ns0:v>
      </ns0:c>
      <ns0:c r="F5" s="225" t="n">
        <ns0:f>ROUND(B5*D5*E5,2)</ns0:f>
        <ns0:v>589.33</ns0:v>
      </ns0:c>
      <ns0:c r="G5" s="309" t="str">
        <ns0:v>单位补缴差额×欠缴天数×0.05%；按所属月次月15日后起算。</ns0:v>
      </ns0:c>
    </ns0:row>
    <ns0:row r="6" ht="43" customHeight="1">
      <ns0:c r="A6" s="205" t="str">
        <ns0:f>'社保单位补缴明细'!A7</ns0:f>
        <ns0:v>2026-03</ns0:v>
      </ns0:c>
      <ns0:c r="B6" s="225" t="n">
        <ns0:f>'社保单位补缴明细'!G7</ns0:f>
        <ns0:v>5037.03</ns0:v>
      </ns0:c>
      <ns0:c r="C6" s="400" t="n">
        <ns0:f>DATE(2026,4,15)</ns0:f>
        <ns0:v>46127</ns0:v>
      </ns0:c>
      <ns0:c r="D6" s="404" t="n">
        <ns0:f>MAX(0,$B$2-C6)</ns0:f>
        <ns0:v>203</ns0:v>
      </ns0:c>
      <ns0:c r="E6" s="401" t="n">
        <ns0:f>$E$2</ns0:f>
        <ns0:v>0.0005</ns0:v>
      </ns0:c>
      <ns0:c r="F6" s="225" t="n">
        <ns0:f>ROUND(B6*D6*E6,2)</ns0:f>
        <ns0:v>511.26</ns0:v>
      </ns0:c>
      <ns0:c r="G6" s="309" t="str">
        <ns0:v>单位补缴差额×欠缴天数×0.05%；按所属月次月15日后起算。</ns0:v>
      </ns0:c>
    </ns0:row>
    <ns0:row r="7" ht="43" customHeight="1">
      <ns0:c r="A7" s="205" t="str">
        <ns0:f>'社保单位补缴明细'!A8</ns0:f>
        <ns0:v>2026-04</ns0:v>
      </ns0:c>
      <ns0:c r="B7" s="225" t="n">
        <ns0:f>'社保单位补缴明细'!G8</ns0:f>
        <ns0:v>5037.03</ns0:v>
      </ns0:c>
      <ns0:c r="C7" s="400" t="n">
        <ns0:f>DATE(2026,5,15)</ns0:f>
        <ns0:v>46157</ns0:v>
      </ns0:c>
      <ns0:c r="D7" s="404" t="n">
        <ns0:f>MAX(0,$B$2-C7)</ns0:f>
        <ns0:v>173</ns0:v>
      </ns0:c>
      <ns0:c r="E7" s="401" t="n">
        <ns0:f>$E$2</ns0:f>
        <ns0:v>0.0005</ns0:v>
      </ns0:c>
      <ns0:c r="F7" s="225" t="n">
        <ns0:f>ROUND(B7*D7*E7,2)</ns0:f>
        <ns0:v>435.7</ns0:v>
      </ns0:c>
      <ns0:c r="G7" s="309" t="str">
        <ns0:v>单位补缴差额×欠缴天数×0.05%；按所属月次月15日后起算。</ns0:v>
      </ns0:c>
    </ns0:row>
    <ns0:row r="8" ht="43" customHeight="1">
      <ns0:c r="A8" s="205" t="str">
        <ns0:f>'社保单位补缴明细'!A9</ns0:f>
        <ns0:v>2026-05</ns0:v>
      </ns0:c>
      <ns0:c r="B8" s="225" t="n">
        <ns0:f>'社保单位补缴明细'!G9</ns0:f>
        <ns0:v>5037.03</ns0:v>
      </ns0:c>
      <ns0:c r="C8" s="400" t="n">
        <ns0:f>DATE(2026,6,15)</ns0:f>
        <ns0:v>46188</ns0:v>
      </ns0:c>
      <ns0:c r="D8" s="404" t="n">
        <ns0:f>MAX(0,$B$2-C8)</ns0:f>
        <ns0:v>142</ns0:v>
      </ns0:c>
      <ns0:c r="E8" s="401" t="n">
        <ns0:f>$E$2</ns0:f>
        <ns0:v>0.0005</ns0:v>
      </ns0:c>
      <ns0:c r="F8" s="225" t="n">
        <ns0:f>ROUND(B8*D8*E8,2)</ns0:f>
        <ns0:v>357.63</ns0:v>
      </ns0:c>
      <ns0:c r="G8" s="309" t="str">
        <ns0:v>单位补缴差额×欠缴天数×0.05%；按所属月次月15日后起算。</ns0:v>
      </ns0:c>
    </ns0:row>
    <ns0:row r="9" ht="43" customHeight="1">
      <ns0:c r="A9" s="205" t="str">
        <ns0:f>'社保单位补缴明细'!A10</ns0:f>
        <ns0:v>2026-06</ns0:v>
      </ns0:c>
      <ns0:c r="B9" s="225" t="n">
        <ns0:f>'社保单位补缴明细'!G10</ns0:f>
        <ns0:v>5037.03</ns0:v>
      </ns0:c>
      <ns0:c r="C9" s="400" t="n">
        <ns0:f>DATE(2026,7,15)</ns0:f>
        <ns0:v>46218</ns0:v>
      </ns0:c>
      <ns0:c r="D9" s="404" t="n">
        <ns0:f>MAX(0,$B$2-C9)</ns0:f>
        <ns0:v>112</ns0:v>
      </ns0:c>
      <ns0:c r="E9" s="401" t="n">
        <ns0:f>$E$2</ns0:f>
        <ns0:v>0.0005</ns0:v>
      </ns0:c>
      <ns0:c r="F9" s="225" t="n">
        <ns0:f>ROUND(B9*D9*E9,2)</ns0:f>
        <ns0:v>282.07</ns0:v>
      </ns0:c>
      <ns0:c r="G9" s="309" t="str">
        <ns0:v>单位补缴差额×欠缴天数×0.05%；按所属月次月15日后起算。</ns0:v>
      </ns0:c>
    </ns0:row>
    <ns0:row r="10" ht="43" customHeight="1">
      <ns0:c r="A10" s="205" t="str">
        <ns0:f>'社保单位补缴明细'!A11</ns0:f>
        <ns0:v>2026-07</ns0:v>
      </ns0:c>
      <ns0:c r="B10" s="225" t="n">
        <ns0:f>'社保单位补缴明细'!G11</ns0:f>
        <ns0:v>5037.03</ns0:v>
      </ns0:c>
      <ns0:c r="C10" s="400" t="n">
        <ns0:f>DATE(2026,8,15)</ns0:f>
        <ns0:v>46249</ns0:v>
      </ns0:c>
      <ns0:c r="D10" s="404" t="n">
        <ns0:f>MAX(0,$B$2-C10)</ns0:f>
        <ns0:v>81</ns0:v>
      </ns0:c>
      <ns0:c r="E10" s="401" t="n">
        <ns0:f>$E$2</ns0:f>
        <ns0:v>0.0005</ns0:v>
      </ns0:c>
      <ns0:c r="F10" s="225" t="n">
        <ns0:f>ROUND(B10*D10*E10,2)</ns0:f>
        <ns0:v>204</ns0:v>
      </ns0:c>
      <ns0:c r="G10" s="309" t="str">
        <ns0:v>单位补缴差额×欠缴天数×0.05%；按所属月次月15日后起算。</ns0:v>
      </ns0:c>
    </ns0:row>
    <ns0:row r="11" ht="43" customHeight="1">
      <ns0:c r="A11" s="205" t="str">
        <ns0:f>'社保单位补缴明细'!A12</ns0:f>
        <ns0:v>2026-08</ns0:v>
      </ns0:c>
      <ns0:c r="B11" s="225" t="n">
        <ns0:f>'社保单位补缴明细'!G12</ns0:f>
        <ns0:v>5037.03</ns0:v>
      </ns0:c>
      <ns0:c r="C11" s="400" t="n">
        <ns0:f>DATE(2026,9,15)</ns0:f>
        <ns0:v>46280</ns0:v>
      </ns0:c>
      <ns0:c r="D11" s="404" t="n">
        <ns0:f>MAX(0,$B$2-C11)</ns0:f>
        <ns0:v>50</ns0:v>
      </ns0:c>
      <ns0:c r="E11" s="401" t="n">
        <ns0:f>$E$2</ns0:f>
        <ns0:v>0.0005</ns0:v>
      </ns0:c>
      <ns0:c r="F11" s="225" t="n">
        <ns0:f>ROUND(B11*D11*E11,2)</ns0:f>
        <ns0:v>125.93</ns0:v>
      </ns0:c>
      <ns0:c r="G11" s="309" t="str">
        <ns0:v>单位补缴差额×欠缴天数×0.05%；按所属月次月15日后起算。</ns0:v>
      </ns0:c>
    </ns0:row>
    <ns0:row r="12" ht="43" customHeight="1">
      <ns0:c r="A12" s="205" t="str">
        <ns0:f>'社保单位补缴明细'!A13</ns0:f>
        <ns0:v>2026-09</ns0:v>
      </ns0:c>
      <ns0:c r="B12" s="225" t="n">
        <ns0:f>'社保单位补缴明细'!G13</ns0:f>
        <ns0:v>5037.03</ns0:v>
      </ns0:c>
      <ns0:c r="C12" s="400" t="n">
        <ns0:f>DATE(2026,10,15)</ns0:f>
        <ns0:v>46310</ns0:v>
      </ns0:c>
      <ns0:c r="D12" s="404" t="n">
        <ns0:f>MAX(0,$B$2-C12)</ns0:f>
        <ns0:v>20</ns0:v>
      </ns0:c>
      <ns0:c r="E12" s="401" t="n">
        <ns0:f>$E$2</ns0:f>
        <ns0:v>0.0005</ns0:v>
      </ns0:c>
      <ns0:c r="F12" s="225" t="n">
        <ns0:f>ROUND(B12*D12*E12,2)</ns0:f>
        <ns0:v>50.37</ns0:v>
      </ns0:c>
      <ns0:c r="G12" s="309" t="str">
        <ns0:v>单位补缴差额×欠缴天数×0.05%；按所属月次月15日后起算。</ns0:v>
      </ns0:c>
    </ns0:row>
    <ns0:row r="13" ht="43" customHeight="1">
      <ns0:c r="A13" s="205" t="str">
        <ns0:f>'社保单位补缴明细'!A14</ns0:f>
        <ns0:v>2026-10</ns0:v>
      </ns0:c>
      <ns0:c r="B13" s="225" t="n">
        <ns0:f>'社保单位补缴明细'!G14</ns0:f>
        <ns0:v>5037.03</ns0:v>
      </ns0:c>
      <ns0:c r="C13" s="400" t="n">
        <ns0:f>DATE(2026,11,15)</ns0:f>
        <ns0:v>46341</ns0:v>
      </ns0:c>
      <ns0:c r="D13" s="404" t="n">
        <ns0:f>MAX(0,$B$2-C13)</ns0:f>
        <ns0:v>0</ns0:v>
      </ns0:c>
      <ns0:c r="E13" s="401" t="n">
        <ns0:f>$E$2</ns0:f>
        <ns0:v>0.0005</ns0:v>
      </ns0:c>
      <ns0:c r="F13" s="225" t="n">
        <ns0:f>ROUND(B13*D13*E13,2)</ns0:f>
        <ns0:v>0</ns0:v>
      </ns0:c>
      <ns0:c r="G13" s="309" t="str">
        <ns0:v>单位补缴差额×欠缴天数×0.05%；按所属月次月15日后起算。</ns0:v>
      </ns0:c>
    </ns0:row>
    <ns0:row r="14">
      <ns0:c r="A14" s="205" t="str">
        <ns0:f>'社保单位补缴明细'!A4</ns0:f>
        <ns0:v>2025-12</ns0:v>
      </ns0:c>
      <ns0:c r="B14" s="225" t="n">
        <ns0:f>'社保单位补缴明细'!G4</ns0:f>
        <ns0:v>6333.39</ns0:v>
      </ns0:c>
      <ns0:c r="C14" s="400" t="n">
        <ns0:f>DATE(2026,1,15)</ns0:f>
        <ns0:v>46037</ns0:v>
      </ns0:c>
      <ns0:c r="D14" s="404" t="n">
        <ns0:f>MAX(0,$B$2-C14)</ns0:f>
        <ns0:v>293</ns0:v>
      </ns0:c>
      <ns0:c r="E14" s="401" t="n">
        <ns0:f>$E$2</ns0:f>
        <ns0:v>0.0005</ns0:v>
      </ns0:c>
      <ns0:c r="F14" s="225" t="n">
        <ns0:f>ROUND(B14*D14*E14,2)</ns0:f>
        <ns0:v>927.84</ns0:v>
      </ns0:c>
      <ns0:c r="G14" s="309" t="str">
        <ns0:f>"2025年12月单位未缴；按次月15日后起算，计"&amp;D14&amp;"天，实际征期以核定为准。"</ns0:f>
        <ns0:v>2025年12月单位未缴；按次月15日后起算，计293天，实际征期以核定为准。</ns0:v>
      </ns0:c>
    </ns0:row>
    <ns0:row r="15" ht="39" customHeight="1">
      <ns0:c r="A15" s="397" t="str">
        <ns0:v>社保滞纳金合计</ns0:v>
      </ns0:c>
      <ns0:c r="B15" s="403" t="n">
        <ns0:f>SUM(B4:B14)</ns0:f>
        <ns0:v>56703.689999999995</ns0:v>
      </ns0:c>
      <ns0:c r="C15" s="397"/>
      <ns0:c r="D15" s="397"/>
      <ns0:c r="E15" s="397"/>
      <ns0:c r="F15" s="403" t="n">
        <ns0:f>SUM(F4:F14)</ns0:f>
        <ns0:v>4143.98</ns0:v>
      </ns0:c>
      <ns0:c r="G15" s="402"/>
    </ns0:row>
    <ns0:row r="16">
      <ns0:c r="A16" s="205"/>
      <ns0:c r="B16" s="205"/>
      <ns0:c r="C16" s="205"/>
      <ns0:c r="D16" s="205"/>
      <ns0:c r="E16" s="205"/>
      <ns0:c r="F16" s="205"/>
      <ns0:c r="G16" s="309"/>
    </ns0:row>
    <ns0:row r="17" ht="91" customHeight="1">
      <ns0:c r="A17" s="205" t="str">
        <ns0:v>计算口径</ns0:v>
      </ns0:c>
      <ns0:c r="B17" s="205"/>
      <ns0:c r="C17" s="205"/>
      <ns0:c r="D17" s="205"/>
      <ns0:c r="E17" s="205"/>
      <ns0:c r="F17" s="205"/>
      <ns0:c r="G17" s="309" t="str">
        <ns0:f>"计算截至"&amp;TEXT(B2,"yyyy-mm-dd")&amp;"；按所属月次月15日后起算，未到缴费期限的月份不计滞纳金。实际缴费期限及起算日以征收机关核定为准。"</ns0:f>
        <ns0:v>计算截至2026-11-04；按所属月次月15日后起算，未到缴费期限的月份不计滞纳金。实际缴费期限及起算日以征收机关核定为准。</ns0:v>
      </ns0:c>
    </ns0:row>
    <ns0:row r="18">
      <ns0:c r="A18" s="205"/>
      <ns0:c r="B18" s="205"/>
      <ns0:c r="C18" s="205"/>
      <ns0:c r="D18" s="205"/>
      <ns0:c r="E18" s="205"/>
      <ns0:c r="F18" s="205"/>
      <ns0:c r="G18" s="309"/>
    </ns0:row>
    <ns0:row r="19" ht="55" customHeight="1">
      <ns0:c r="A19" s="205" t="str">
        <ns0:v>法律依据</ns0:v>
      </ns0:c>
      <ns0:c r="B19" s="205"/>
      <ns0:c r="C19" s="205"/>
      <ns0:c r="D19" s="205"/>
      <ns0:c r="E19" s="205"/>
      <ns0:c r="F19" s="205"/>
      <ns0:c r="G19" s="309" t="str">
        <ns0:v>《社会保险法》第86条：未按时足额缴费，自欠缴之日起按日加收万分之五。</ns0:v>
      </ns0:c>
    </ns0:row>
    <ns0:row r="20" ht="55" customHeight="1">
      <ns0:c r="A20" s="205" t="str">
        <ns0:v>浙江缴费期限</ns0:v>
      </ns0:c>
      <ns0:c r="B20" s="205"/>
      <ns0:c r="C20" s="205"/>
      <ns0:c r="D20" s="205"/>
      <ns0:c r="E20" s="205"/>
      <ns0:c r="F20" s="205"/>
      <ns0:c r="G20" s="309" t="str">
        <ns0:v>浙江税务办事资料明确按月缴纳上月社保、每月15日前缴费；本表以次月15日试算，节假日征期顺延或缓缴尚未核实，实际依征收机关核定。</ns0:v>
      </ns0:c>
    </ns0:row>
    <ns0:row r="21">
      <ns0:c r="A21" s="205"/>
      <ns0:c r="B21" s="205"/>
      <ns0:c r="C21" s="205"/>
      <ns0:c r="D21" s="205"/>
      <ns0:c r="E21" s="205"/>
      <ns0:c r="F21" s="205"/>
      <ns0:c r="G21" s="309"/>
    </ns0:row>
    <ns0:row r="22">
      <ns0:c r="A22" s="205" t="str">
        <ns0:v>法规原文</ns0:v>
      </ns0:c>
      <ns0:c r="B22" s="205"/>
      <ns0:c r="C22" s="205"/>
      <ns0:c r="D22" s="205"/>
      <ns0:c r="E22" s="205"/>
      <ns0:c r="F22" s="205"/>
      <ns0:c r="G22" s="309" t="str">
        <ns0:v>https://zhejiang.chinatax.gov.cn/art/2024/12/20/art_13314_629153.html</ns0:v>
      </ns0:c>
    </ns0:row>
    <ns0:row r="23">
      <ns0:c r="A23" s="205" t="str">
        <ns0:v>缴费期限原文</ns0:v>
      </ns0:c>
      <ns0:c r="B23" s="205"/>
      <ns0:c r="C23" s="205"/>
      <ns0:c r="D23" s="205"/>
      <ns0:c r="E23" s="205"/>
      <ns0:c r="F23" s="205"/>
      <ns0:c r="G23" s="309" t="str">
        <ns0:v>https://zhejiang.chinatax.gov.cn/art/2023/8/10/art_13314_595952.html</ns0:v>
      </ns0:c>
    </ns0:row>
    <ns0:row r="24">
      <ns0:c r="A24" s="205" t="str">
        <ns0:v>浙江按月缴上月依据</ns0:v>
      </ns0:c>
      <ns0:c r="B24" s="205"/>
      <ns0:c r="C24" s="205"/>
      <ns0:c r="D24" s="205"/>
      <ns0:c r="E24" s="205"/>
      <ns0:c r="F24" s="205"/>
      <ns0:c r="G24" s="309" t="str">
        <ns0:v>https://zhejiang.chinatax.gov.cn/art/2026/4/8/art_26351_652855.html</ns0:v>
      </ns0:c>
    </ns0:row>
  </ns0:sheetData>
  <ns0:pageMargins left="0.7" right="0.7" top="0.75" bottom="0.75" header="0.3" footer="0.3"/>
</ns0:worksheet>
</file>

<file path=xl/worksheets/sheet12.xml><?xml version="1.0" encoding="utf-8"?>
<ns0:worksheet xmlns:ns0="http://schemas.openxmlformats.org/spreadsheetml/2006/main">
  <ns0:sheetViews>
    <ns0:sheetView showGridLines="0" workbookViewId="0">
      <ns0:pane ySplit="1" topLeftCell="A2" activePane="bottomLeft" state="frozen"/>
    </ns0:sheetView>
  </ns0:sheetViews>
  <ns0:sheetFormatPr defaultRowHeight="15"/>
  <ns0:cols>
    <ns0:col min="1" max="1" width="23" hidden="0" customWidth="1"/>
    <ns0:col min="2" max="2" width="85" hidden="0" customWidth="1"/>
    <ns0:col min="3" max="3" width="105" hidden="0" customWidth="1"/>
  </ns0:cols>
  <ns0:sheetData>
    <ns0:row r="1" ht="30" customHeight="1">
      <ns0:c r="A1" s="190" t="str">
        <ns0:v>项目</ns0:v>
      </ns0:c>
      <ns0:c r="B1" s="190" t="str">
        <ns0:v>本次取值/说明</ns0:v>
      </ns0:c>
      <ns0:c r="C1" s="190" t="str">
        <ns0:v>来源</ns0:v>
      </ns0:c>
    </ns0:row>
    <ns0:row r="2" ht="54" customHeight="1">
      <ns0:c r="A2" s="216" t="str">
        <ns0:v>时间范围</ns0:v>
      </ns0:c>
      <ns0:c r="B2" s="216" t="str">
        <ns0:v>考勤2025-12-19至2026-11-03；社保2025年12月至2026年11月，公积金2026年1—11月；2025年12月社保及2026年11月两项单位尚未缴纳，已缴金额为0元。11月3日仅有上班打卡，未计算完整工时。</ns0:v>
      </ns0:c>
      <ns0:c r="C2" s="216" t="str">
        <ns0:v>逐日原始打卡截图与汇总_2026-10-27/逐日数据.json</ns0:v>
      </ns0:c>
    </ns0:row>
    <ns0:row r="3" ht="54" customHeight="1">
      <ns0:c r="A3" s="216" t="str">
        <ns0:v>实际工时</ns0:v>
      </ns0:c>
      <ns0:c r="B3" s="216" t="str">
        <ns0:v>双打卡跨度减1小时午休，仅为参考工时。单边打卡/休息无需打卡的工时留空；补充日期记录不等于已认可加班。</ns0:v>
      </ns0:c>
      <ns0:c r="C3" s="216" t="str">
        <ns0:v>逐日数据.json及同目录原始截图</ns0:v>
      </ns0:c>
    </ns0:row>
    <ns0:row r="4" ht="54" customHeight="1">
      <ns0:c r="A4" s="216" t="str">
        <ns0:v>工作日加班</ns0:v>
      </ns0:c>
      <ns0:c r="B4" s="216" t="str">
        <ns0:v>净时长超过8小时的部分；国务院规定的调班日归工作日</ns0:v>
      </ns0:c>
      <ns0:c r="C4" s="216" t="str">
        <ns0:v>https://www.beijing.gov.cn/cs/gncs/zcwj/202603/t20260327_4568275.html</ns0:v>
      </ns0:c>
    </ns0:row>
    <ns0:row r="5" ht="54" customHeight="1">
      <ns0:c r="A5" s="216" t="str">
        <ns0:v>休息日加班</ns0:v>
      </ns0:c>
      <ns0:c r="B5" s="216" t="str">
        <ns0:v>以周一至周日核对实际工作日期，应出勤日按国家放假调班及全天年假调整；年假不作加班补休。有工作当天记1天，部分请假另注。多出工作日按每天8小时、200%折算为协商核算金额，不代表该日实际加班8小时。4/8以本人Git记录补充工作事实，4/12计入多出工作日；具体排班和实际时长可据公司记录核对。审批加班5/24、10/24、10/25单列；11月不计加班。5/31及6/23调休对应余额待核对，未重复抵扣本项。</ns0:v>
      </ns0:c>
      <ns0:c r="C5" s="216" t="str">
        <ns0:v>逐日考勤原图、Git原始提交、年假与调休审批；国家放假调班：https://www.beijing.gov.cn/cs/gncs/zcwj/202603/t20260327_4568275.html ；年休假条例：https://rsj.sh.gov.cn/tgwyxzfgwj_17255/20200617/t0035_1388259.html</ns0:v>
      </ns0:c>
    </ns0:row>
    <ns0:row r="6" ht="54" customHeight="1">
      <ns0:c r="A6" s="216" t="str">
        <ns0:v>节假日</ns0:v>
      </ns0:c>
      <ns0:c r="B6" s="216" t="str">
        <ns0:v>本批可核实的双打卡记录中未见法定假日工作；如补齐另按300%</ns0:v>
      </ns0:c>
      <ns0:c r="C6" s="216" t="str">
        <ns0:v>同上</ns0:v>
      </ns0:c>
    </ns0:row>
    <ns0:row r="7" ht="54" customHeight="1">
      <ns0:c r="A7" s="216" t="str">
        <ns0:v>小时工资除数</ns0:v>
      </ns0:c>
      <ns0:c r="B7" s="216" t="str">
        <ns0:v>月计薪天数21.75×8小时</ns0:v>
      </ns0:c>
      <ns0:c r="C7" s="216" t="str">
        <ns0:v>https://app.www.gov.cn/govdata/gov/202501/02/523227/article.html</ns0:v>
      </ns0:c>
    </ns0:row>
    <ns0:row r="8" ht="54" customHeight="1">
      <ns0:c r="A8" s="216" t="str">
        <ns0:v>加班工资基数</ns0:v>
      </ns0:c>
      <ns0:c r="B8" s="216" t="str">
        <ns0:v>加班费统一按2026年1—9月9个完整工资月的税前应发平均值试算；是否应剔除已付加班项等争议以劳动合同和正式核算口径确认。</ns0:v>
      </ns0:c>
      <ns0:c r="C8" s="216" t="str">
        <ns0:v>工资单及新员工入职文档.pdf</ns0:v>
      </ns0:c>
    </ns0:row>
    <ns0:row r="9" ht="54" customHeight="1">
      <ns0:c r="A9" s="216" t="str">
        <ns0:v>补缴目标基数</ns0:v>
      </ns0:c>
      <ns0:c r="B9" s="216" t="str">
        <ns0:v>剔除2025年12月不满月及餐补，取2026年1—9月9个完整工资月税前应发平均；法定缴费基数以核定为准。</ns0:v>
      </ns0:c>
      <ns0:c r="C9" s="216" t="str">
        <ns0:v>工资单转录B4:B12；2026年度正式基数以社保及公积金中心核定为准</ns0:v>
      </ns0:c>
    </ns0:row>
    <ns0:row r="10" ht="54" customHeight="1">
      <ns0:c r="A10" s="216" t="str">
        <ns0:v>2026社保下限</ns0:v>
      </ns0:c>
      <ns0:c r="B10" s="216" t="str">
        <ns0:v>社保单位应缴按明细费率及目标基数核算；2025年12月及2026年11月单位尚未缴纳，已缴金额为0元。入职月适用基数待正式核定。</ns0:v>
      </ns0:c>
      <ns0:c r="C10" s="216" t="str">
        <ns0:v>https://rlsbt.zj.gov.cn/col/col1229101513/art/2026/art_e8b496ab59834390884b8d375cff1651.html</ns0:v>
      </ns0:c>
    </ns0:row>
    <ns0:row r="11" ht="54" customHeight="1">
      <ns0:c r="A11" s="216" t="str">
        <ns0:v>公积金年度调整</ns0:v>
      </ns0:c>
      <ns0:c r="B11" s="216" t="str">
        <ns0:v>2026年7月起按2025年月均工资核定；本表仅估算单位按5%最低比例的补缴差额。</ns0:v>
      </ns0:c>
      <ns0:c r="C11" s="216" t="str">
        <ns0:v>https://gjj.hangzhou.gov.cn/col/col1229468386/art/2026/art_09cee14331fb44f2967fca0b8ac2ce27.html</ns0:v>
      </ns0:c>
    </ns0:row>
    <ns0:row r="12" ht="54" customHeight="1">
      <ns0:c r="A12" s="216" t="str">
        <ns0:v>缺失证据</ns0:v>
      </ns0:c>
      <ns0:c r="B12" s="216" t="str">
        <ns0:v>劳动合同薪酬条款、正式缴费流水与起算期限；2025/12入职月适用社保基数；11月到期及后续实缴；10月实际工资单；休息日补休及加班已付。</ns0:v>
      </ns0:c>
      <ns0:c r="C12" s="216" t="str">
        <ns0:v>请公司提供</ns0:v>
      </ns0:c>
    </ns0:row>
    <ns0:row r="13" ht="54" customHeight="1">
      <ns0:c r="A13" s="216" t="str">
        <ns0:v>金额性质</ns0:v>
      </ns0:c>
      <ns0:c r="B13" s="216" t="str">
        <ns0:v>本表社保、公积金仅列单位应补缴金额；应缴入相应账户，不视为直接发给员工的现金。</ns0:v>
      </ns0:c>
      <ns0:c r="C13" s="216" t="str">
        <ns0:v>社会保险法及住房公积金管理条例</ns0:v>
      </ns0:c>
    </ns0:row>
    <ns0:row r="14" ht="70" customHeight="1">
      <ns0:c r="A14" s="216" t="str">
        <ns0:v>N+1试算</ns0:v>
      </ns0:c>
      <ns0:c r="B14" s="216" t="str">
        <ns0:v>解除日期口径2026年11月；入职2025-12-19，N=1。N与+1沿既有1—9月均值；10月实际工资单未取得，9月23739.13仅历史参考。N/+1以相应适用条件成立为前提。</ns0:v>
      </ns0:c>
      <ns0:c r="C14" s="216" t="str">
        <ns0:v>https://chinajob.mohrss.gov.cn/c/2019-10-24/133333.shtml；https://www.mohrss.gov.cn/ldgxs/LDGXhetong/ldht/201012/t20101203_86695.html</ns0:v>
      </ns0:c>
    </ns0:row>
    <ns0:row r="15" ht="90" customHeight="1">
      <ns0:c r="A15" s="216" t="str">
        <ns0:v>未发工资与调休</ns0:v>
      </ns0:c>
      <ns0:c r="B15" s="216" t="str">
        <ns0:f>"十月未发工资24,000元；十一月按月薪24,000元÷21.75×计薪天数核算，暂计至"&amp;TEXT('未发工资明细'!B9,"yyyy-mm-dd")&amp;"共"&amp;'未发工资明细'!B12&amp;"天，最终按实际出勤结算。不重复计入加班；调休余额12小时。"</ns0:f>
        <ns0:v>十月未发工资24,000元；十一月按月薪24,000元÷21.75×计薪天数核算，暂计至2026-11-04共4天，最终按实际出勤结算。不重复计入加班；调休余额12小时。</ns0:v>
      </ns0:c>
      <ns0:c r="C15" s="216" t="str">
        <ns0:v>未发工资明细及逐日计薪表；11/1考勤，11/2—3暂计。</ns0:v>
      </ns0:c>
    </ns0:row>
    <ns0:row r="16" ht="100" customHeight="1">
      <ns0:c r="A16" s="216" t="str">
        <ns0:v>工作日分档差额</ns0:v>
      </ns0:c>
      <ns0:c r="B16" s="216" t="str">
        <ns0:v>仅工资单已发加班项的1、2、4—8月。1—2月月平均9小时档：日加班1小时，按月考勤出勤日剔除休息日及请假折算；4—8月逐日净工时达9／10／11小时分别计1／2／3小时，只纳入法定工作日。统一按1—9月完整月份税前月均÷21.75÷8×150%计算，扣除工资单已付加班项；其他月份工作日不计本次差额。</ns0:v>
      </ns0:c>
      <ns0:c r="C16" s="216" t="str">
        <ns0:v>工资单转录；2026-01／02月考勤统计；逐日打卡；新员工入职文档；劳动法第44条</ns0:v>
      </ns0:c>
    </ns0:row>
    <ns0:row r="17" ht="90" customHeight="1">
      <ns0:c r="A17" s="216" t="str">
        <ns0:v>工时补贴政策切换</ns0:v>
      </ns0:c>
      <ns0:c r="B17" s="216" t="str">
        <ns0:v>入职文档：月均8小时0%，9小时5%，10小时10%，11小时20%。2026年3月22日群公告改为逐日核算，4—8月工资单列已付金额。各月已发金额按工资单原值扣，不把补贴百分比当法定加班倍数。</ns0:v>
      </ns0:c>
      <ns0:c r="C17" s="216" t="str">
        <ns0:v>新员工入职文档.pdf 第1页图示；2026-03-22群公告截图；2026年工资单</ns0:v>
      </ns0:c>
    </ns0:row>
    <ns0:row r="18" ht="64" customHeight="1">
      <ns0:c r="A18" s="216" t="str">
        <ns0:v>新增考勤与计薪边界</ns0:v>
      </ns0:c>
      <ns0:c r="B18" s="216" t="str">
        <ns0:v>10/31今日休息、上下班未打卡且无需打卡；11/1大小休09:55—18:56，跨度541分钟，扣午休参考481分钟；是否构成加班及补休待核实，本次不增加应付金额。</ns0:v>
      </ns0:c>
      <ns0:c r="C18" s="216" t="str">
        <ns0:v>逐日加班213—215行；最新飞书原始截图</ns0:v>
      </ns0:c>
    </ns0:row>
    <ns0:row r="19" ht="64" customHeight="1">
      <ns0:c r="A19" s="216" t="str">
        <ns0:v>调休余额核对</ns0:v>
      </ns0:c>
      <ns0:c r="B19" s="216" t="str">
        <ns0:v>10/24、25审批16小时，10/27和10/30各调休2小时，已用4小时、剩余12小时；新增考勤未见新审批，金额不变。</ns0:v>
      </ns0:c>
      <ns0:c r="C19" s="216" t="str">
        <ns0:v>十月未补休明细B6:B12；10/30系统余额截图</ns0:v>
      </ns0:c>
    </ns0:row>
    <ns0:row r="20" ht="64" customHeight="1">
      <ns0:c r="A20" s="216" t="str">
        <ns0:v>分项日期与情景</ns0:v>
      </ns0:c>
      <ns0:c r="B20" s="216" t="str">
        <ns0:v>社保2025/12—2026/11、公积金2026/1—11；12月社保及11月两项已缴0，11月未到期。入职2025-12-19；解除日期口径2026年11月。滞纳金截至11/2，按次月15日假设，实际以核定为准。</ns0:v>
      </ns0:c>
      <ns0:c r="C20" s="216" t="str">
        <ns0:v>公司应付款项汇总；核算总览；社保滞纳金明细B2</ns0:v>
      </ns0:c>
    </ns0:row>
    <ns0:row r="21" ht="64" customHeight="1">
      <ns0:c r="A21" s="216" t="str">
        <ns0:v>工作表去重</ns0:v>
      </ns0:c>
      <ns0:c r="B21" s="216" t="str">
        <ns0:v>删除无下游公式引用的“十月工资与补偿”重复展示；工资、N、+1分别见对应明细，计算源仍保留。</ns0:v>
      </ns0:c>
      <ns0:c r="C21" s="216" t="str">
        <ns0:v>未发工资明细；N经济补偿明细；代通知金明细</ns0:v>
      </ns0:c>
    </ns0:row>
    <ns0:row r="22" ht="64" customHeight="1">
      <ns0:c r="A22" s="216" t="str">
        <ns0:v>计算源分类</ns0:v>
      </ns0:c>
      <ns0:c r="B22" s="216" t="str">
        <ns0:v>社保补缴、公积金补缴、核算总览为隐藏计算源，保留名称和公式供明细引用；逐日加班、月度加班、工资单转录为可见核对源。</ns0:v>
      </ns0:c>
      <ns0:c r="C22" s="216" t="str">
        <ns0:v>隐藏不影响公式；可在Excel取消隐藏核对</ns0:v>
      </ns0:c>
    </ns0:row>
    <ns0:row r="23" ht="64" customHeight="1">
      <ns0:c r="A23" s="216" t="str">
        <ns0:v>资料核对</ns0:v>
      </ns0:c>
      <ns0:c r="B23" s="216" t="str">
        <ns0:v>工资及缴费金额以工资单、缴费流水和考勤记录核对；暂计项目在取得资料后调整。</ns0:v>
      </ns0:c>
      <ns0:c r="C23" s="216" t="str">
        <ns0:v>工资单、缴费流水、考勤记录</ns0:v>
      </ns0:c>
    </ns0:row>
  </ns0:sheetData>
  <ns0:pageMargins left="0.7" right="0.7" top="0.75" bottom="0.75" header="0.3" footer="0.3"/>
</ns0:worksheet>
</file>

<file path=xl/worksheets/sheet13.xml><?xml version="1.0" encoding="utf-8"?>
<ns0:worksheet xmlns:ns0="http://schemas.openxmlformats.org/spreadsheetml/2006/main">
  <ns0:sheetViews>
    <ns0:sheetView showGridLines="0" workbookViewId="0">
      <ns0:pane ySplit="1" topLeftCell="A2" activePane="bottomLeft" state="frozen"/>
    </ns0:sheetView>
  </ns0:sheetViews>
  <ns0:sheetFormatPr defaultRowHeight="15"/>
  <ns0:cols>
    <ns0:col min="1" max="1" width="29" hidden="0" customWidth="1"/>
    <ns0:col min="2" max="2" width="17" hidden="0" customWidth="1"/>
    <ns0:col min="3" max="3" width="18" hidden="0" customWidth="1"/>
    <ns0:col min="4" max="4" width="17" hidden="0" customWidth="1"/>
    <ns0:col min="5" max="5" width="19" hidden="0" customWidth="1"/>
    <ns0:col min="6" max="6" width="68" hidden="0" customWidth="1"/>
    <ns0:col min="7" max="7" width="72" hidden="0" customWidth="1"/>
  </ns0:cols>
  <ns0:sheetData>
    <ns0:row r="1" ht="30" customHeight="1">
      <ns0:c r="A1" s="190" t="str">
        <ns0:v>月份/项目</ns0:v>
      </ns0:c>
      <ns0:c r="B1" s="190" t="str">
        <ns0:v>应发金额</ns0:v>
      </ns0:c>
      <ns0:c r="C1" s="190" t="str">
        <ns0:v>工资单加班项</ns0:v>
      </ns0:c>
      <ns0:c r="D1" s="190" t="str">
        <ns0:v>实发金额</ns0:v>
      </ns0:c>
      <ns0:c r="E1" s="190"/>
      <ns0:c r="F1" s="190" t="str">
        <ns0:v>转录与核对</ns0:v>
      </ns0:c>
      <ns0:c r="G1" s="190" t="str">
        <ns0:v>原图相对路径</ns0:v>
      </ns0:c>
    </ns0:row>
    <ns0:row r="2" ht="40" customHeight="1">
      <ns0:c r="A2" s="216" t="str">
        <ns0:v>2025-12</ns0:v>
      </ns0:c>
      <ns0:c r="B2" s="227" t="n">
        <ns0:v>12421.05</ns0:v>
      </ns0:c>
      <ns0:c r="C2" s="227" t="n">
        <ns0:v>0</ns0:v>
      </ns0:c>
      <ns0:c r="D2" s="227" t="n">
        <ns0:v>12198.42</ns0:v>
      </ns0:c>
      <ns0:c r="E2" s="227"/>
      <ns0:c r="F2" s="216" t="str">
        <ns0:v>聊天放大图；12月19日入职，工资为部分月份</ns0:v>
      </ns0:c>
      <ns0:c r="G2" s="216" t="str">
        <ns0:v>聊天工资单放大原图/2025-12_聊天工资单放大.png</ns0:v>
      </ns0:c>
    </ns0:row>
    <ns0:row r="3" ht="40" customHeight="1">
      <ns0:c r="A3" s="216" t="str">
        <ns0:v>2025年终奖（2026-02发送）</ns0:v>
      </ns0:c>
      <ns0:c r="B3" s="227" t="n">
        <ns0:v>701.75</ns0:v>
      </ns0:c>
      <ns0:c r="C3" s="227" t="n">
        <ns0:v>0</ns0:v>
      </ns0:c>
      <ns0:c r="D3" s="227" t="n">
        <ns0:v>680.7</ns0:v>
      </ns0:c>
      <ns0:c r="E3" s="227"/>
      <ns0:c r="F3" s="216" t="str">
        <ns0:v>与1月工资同屏，但单列，不计入2025年12月工资</ns0:v>
      </ns0:c>
      <ns0:c r="G3" s="216" t="str">
        <ns0:v>工资单及聊天原图/2026-01_工资单及年终奖_聊天缩略图.jpg</ns0:v>
      </ns0:c>
    </ns0:row>
    <ns0:row r="4" ht="40" customHeight="1">
      <ns0:c r="A4" s="216" t="str">
        <ns0:v>2026-01</ns0:v>
      </ns0:c>
      <ns0:c r="B4" s="227" t="n">
        <ns0:v>24184.78</ns0:v>
      </ns0:c>
      <ns0:c r="C4" s="227" t="n">
        <ns0:v>967</ns0:v>
      </ns0:c>
      <ns0:c r="D4" s="227" t="n">
        <ns0:v>22980.16</ns0:v>
      </ns0:c>
      <ns0:c r="E4" s="227"/>
      <ns0:c r="F4" s="216" t="str">
        <ns0:v>聊天放大图；薪资分项之和与合计差0.05元，合计优先</ns0:v>
      </ns0:c>
      <ns0:c r="G4" s="216" t="str">
        <ns0:v>聊天工资单放大原图/2026-01_聊天工资单放大.png</ns0:v>
      </ns0:c>
    </ns0:row>
    <ns0:row r="5" ht="40" customHeight="1">
      <ns0:c r="A5" s="216" t="str">
        <ns0:v>2026-02</ns0:v>
      </ns0:c>
      <ns0:c r="B5" s="227" t="n">
        <ns0:v>24632.35</ns0:v>
      </ns0:c>
      <ns0:c r="C5" s="227" t="n">
        <ns0:v>985</ns0:v>
      </ns0:c>
      <ns0:c r="D5" s="227" t="n">
        <ns0:v>23238.43</ns0:v>
      </ns0:c>
      <ns0:c r="E5" s="227"/>
      <ns0:c r="F5" s="216" t="str">
        <ns0:v>聊天放大图；薪资分项之和与合计不完全一致，合计优先</ns0:v>
      </ns0:c>
      <ns0:c r="G5" s="216" t="str">
        <ns0:v>聊天工资单放大原图/2026-02_聊天工资单放大.png</ns0:v>
      </ns0:c>
    </ns0:row>
    <ns0:row r="6" ht="40" customHeight="1">
      <ns0:c r="A6" s="216" t="str">
        <ns0:v>2026-03</ns0:v>
      </ns0:c>
      <ns0:c r="B6" s="227" t="n">
        <ns0:v>23500</ns0:v>
      </ns0:c>
      <ns0:c r="C6" s="227"/>
      <ns0:c r="D6" s="227"/>
      <ns0:c r="E6" s="227"/>
      <ns0:c r="F6" s="216" t="str">
        <ns0:v>仅下部截图，未见加班项和实发金额</ns0:v>
      </ns0:c>
      <ns0:c r="G6" s="216" t="str">
        <ns0:v>工资单及聊天原图/2026-03_工资单_下部.jpg</ns0:v>
      </ns0:c>
    </ns0:row>
    <ns0:row r="7" ht="40" customHeight="1">
      <ns0:c r="A7" s="216" t="str">
        <ns0:v>2026-04</ns0:v>
      </ns0:c>
      <ns0:c r="B7" s="227" t="n">
        <ns0:v>24791.7</ns0:v>
      </ns0:c>
      <ns0:c r="C7" s="227" t="n">
        <ns0:v>1291.7</ns0:v>
      </ns0:c>
      <ns0:c r="D7" s="227" t="n">
        <ns0:v>22383.02</ns0:v>
      </ns0:c>
      <ns0:c r="E7" s="227"/>
      <ns0:c r="F7" s="216" t="str">
        <ns0:v>完整截图</ns0:v>
      </ns0:c>
      <ns0:c r="G7" s="216" t="str">
        <ns0:v>工资单及聊天原图/2026-04_工资单_完整.jpg</ns0:v>
      </ns0:c>
    </ns0:row>
    <ns0:row r="8" ht="40" customHeight="1">
      <ns0:c r="A8" s="216" t="str">
        <ns0:v>2026-05</ns0:v>
      </ns0:c>
      <ns0:c r="B8" s="227" t="n">
        <ns0:v>25095.26</ns0:v>
      </ns0:c>
      <ns0:c r="C8" s="227" t="n">
        <ns0:v>1095.26</ns0:v>
      </ns0:c>
      <ns0:c r="D8" s="227" t="n">
        <ns0:v>23863.33</ns0:v>
      </ns0:c>
      <ns0:c r="E8" s="227"/>
      <ns0:c r="F8" s="216" t="str">
        <ns0:v>完整截图</ns0:v>
      </ns0:c>
      <ns0:c r="G8" s="216" t="str">
        <ns0:v>工资单及聊天原图/2026-05_工资单_完整.jpg</ns0:v>
      </ns0:c>
    </ns0:row>
    <ns0:row r="9" ht="40" customHeight="1">
      <ns0:c r="A9" s="216" t="str">
        <ns0:v>2026-06</ns0:v>
      </ns0:c>
      <ns0:c r="B9" s="227" t="n">
        <ns0:v>24782.63</ns0:v>
      </ns0:c>
      <ns0:c r="C9" s="227" t="n">
        <ns0:v>1000.02</ns0:v>
      </ns0:c>
      <ns0:c r="D9" s="227"/>
      <ns0:c r="E9" s="227"/>
      <ns0:c r="F9" s="216" t="str">
        <ns0:v>局部截图，未见实发金额</ns0:v>
      </ns0:c>
      <ns0:c r="G9" s="216" t="str">
        <ns0:v>工资单及聊天原图/2026-06_工资单_局部.jpg</ns0:v>
      </ns0:c>
    </ns0:row>
    <ns0:row r="10" ht="40" customHeight="1">
      <ns0:c r="A10" s="216" t="str">
        <ns0:v>2026-07</ns0:v>
      </ns0:c>
      <ns0:c r="B10" s="227" t="n">
        <ns0:v>24502.4</ns0:v>
      </ns0:c>
      <ns0:c r="C10" s="227" t="n">
        <ns0:v>560</ns0:v>
      </ns0:c>
      <ns0:c r="D10" s="227" t="n">
        <ns0:v>23853.87</ns0:v>
      </ns0:c>
      <ns0:c r="E10" s="227"/>
      <ns0:c r="F10" s="216" t="str">
        <ns0:v>截图说明个税未扣，所示实发并非税后入账额</ns0:v>
      </ns0:c>
      <ns0:c r="G10" s="216" t="str">
        <ns0:v>工资单及聊天原图/2026-07_工资单_完整.jpg</ns0:v>
      </ns0:c>
    </ns0:row>
    <ns0:row r="11" ht="40" customHeight="1">
      <ns0:c r="A11" s="216" t="str">
        <ns0:v>2026-08</ns0:v>
      </ns0:c>
      <ns0:c r="B11" s="227" t="n">
        <ns0:v>24004.36</ns0:v>
      </ns0:c>
      <ns0:c r="C11" s="227" t="n">
        <ns0:v>434.8</ns0:v>
      </ns0:c>
      <ns0:c r="D11" s="227" t="n">
        <ns0:v>21686.96</ns0:v>
      </ns0:c>
      <ns0:c r="E11" s="227"/>
      <ns0:c r="F11" s="216" t="str">
        <ns0:v>完整截图</ns0:v>
      </ns0:c>
      <ns0:c r="G11" s="216" t="str">
        <ns0:v>工资单及聊天原图/2026-08_工资单_完整.jpg</ns0:v>
      </ns0:c>
    </ns0:row>
    <ns0:row r="12" ht="40" customHeight="1">
      <ns0:c r="A12" s="216" t="str">
        <ns0:v>2026-09</ns0:v>
      </ns0:c>
      <ns0:c r="B12" s="227" t="n">
        <ns0:v>23739.13</ns0:v>
      </ns0:c>
      <ns0:c r="C12" s="227" t="n">
        <ns0:v>0</ns0:v>
      </ns0:c>
      <ns0:c r="D12" s="227" t="n">
        <ns0:v>21489.99</ns0:v>
      </ns0:c>
      <ns0:c r="E12" s="227"/>
      <ns0:c r="F12" s="216" t="str">
        <ns0:v>完整截图；无单列加班项</ns0:v>
      </ns0:c>
      <ns0:c r="G12" s="216" t="str">
        <ns0:v>工资单及聊天原图/2026-09_工资单_完整.jpg</ns0:v>
      </ns0:c>
    </ns0:row>
    <ns0:row r="13" ht="40" customHeight="1">
      <ns0:c r="A13" s="216" t="str">
        <ns0:v>2026-10</ns0:v>
      </ns0:c>
      <ns0:c r="B13" s="228" t="n">
        <ns0:v>24000</ns0:v>
      </ns0:c>
      <ns0:c r="C13" s="227"/>
      <ns0:c r="D13" s="227"/>
      <ns0:c r="E13" s="227"/>
      <ns0:c r="F13" s="216" t="str">
        <ns0:v>2026年10月税前工资按24,000元列入；另有12小时未休调休余额</ns0:v>
      </ns0:c>
      <ns0:c r="G13" s="216" t="str">
        <ns0:v>10月税前工资24,000元；工资单另行补充</ns0:v>
      </ns0:c>
    </ns0:row>
    <ns0:row r="14">
      <ns0:c r="A14" s="205"/>
      <ns0:c r="B14" s="225"/>
      <ns0:c r="C14" s="225"/>
      <ns0:c r="D14" s="225"/>
      <ns0:c r="E14" s="225"/>
      <ns0:c r="F14" s="205"/>
      <ns0:c r="G14" s="205"/>
    </ns0:row>
    <ns0:row r="15" ht="30" customHeight="1">
      <ns0:c r="A15" s="211" t="str">
        <ns0:v>2026年已见加班项合计</ns0:v>
      </ns0:c>
      <ns0:c r="B15" s="212"/>
      <ns0:c r="C15" s="212" t="n">
        <ns0:f>SUM(C4:C13)</ns0:f>
        <ns0:v>6333.78</ns0:v>
      </ns0:c>
      <ns0:c r="D15" s="225"/>
      <ns0:c r="E15" s="225"/>
      <ns0:c r="F15" s="205"/>
      <ns0:c r="G15" s="205"/>
    </ns0:row>
  </ns0:sheetData>
  <ns0:pageMargins left="0.7" right="0.7" top="0.75" bottom="0.75" header="0.3" footer="0.3"/>
</ns0:worksheet>
</file>

<file path=xl/worksheets/sheet14.xml><?xml version="1.0" encoding="utf-8"?>
<ns0:worksheet xmlns:ns0="http://schemas.openxmlformats.org/spreadsheetml/2006/main">
  <ns0:sheetViews>
    <ns0:sheetView showGridLines="0" workbookViewId="0">
      <ns0:pane ySplit="1" topLeftCell="A2" activePane="bottomLeft" state="frozen"/>
    </ns0:sheetView>
  </ns0:sheetViews>
  <ns0:sheetFormatPr defaultRowHeight="15"/>
  <ns0:cols>
    <ns0:col min="1" max="1" width="14" hidden="0" customWidth="1"/>
    <ns0:col min="2" max="2" width="13" hidden="1" customWidth="1"/>
    <ns0:col min="3" max="3" width="8" hidden="1" customWidth="1"/>
    <ns0:col min="4" max="4" width="25" hidden="0" customWidth="1"/>
    <ns0:col min="5" max="5" width="10" hidden="0" customWidth="1"/>
    <ns0:col min="6" max="6" width="10" hidden="0" customWidth="1"/>
    <ns0:col min="7" max="7" width="20" hidden="0" customWidth="1"/>
    <ns0:col min="8" max="8" width="20" hidden="1" customWidth="1"/>
    <ns0:col min="9" max="9" width="20" hidden="0" customWidth="1"/>
    <ns0:col min="10" max="10" width="20" hidden="0" customWidth="1"/>
    <ns0:col min="11" max="11" width="20" hidden="0" customWidth="1"/>
    <ns0:col min="12" max="12" width="20" hidden="0" customWidth="1"/>
    <ns0:col min="13" max="13" width="15" hidden="0" customWidth="1"/>
    <ns0:col min="14" max="14" width="85" hidden="0" customWidth="1"/>
    <ns0:col min="15" max="15" width="85" hidden="0" customWidth="1"/>
    <ns0:col min="16" max="16" width="18" hidden="0" customWidth="1"/>
    <ns0:col min="17" max="17" width="22" hidden="0" customWidth="1"/>
    <ns0:col min="18" max="18" width="23" hidden="0" customWidth="1"/>
    <ns0:col min="19" max="19" width="25" hidden="0" customWidth="1"/>
    <ns0:col min="20" max="20" width="180" hidden="0" customWidth="1"/>
    <ns0:col min="21" max="21" width="180" hidden="0" customWidth="1"/>
  </ns0:cols>
  <ns0:sheetData>
    <ns0:row r="1" ht="44" customHeight="1">
      <ns0:c r="A1" s="190" t="str">
        <ns0:v>日期</ns0:v>
      </ns0:c>
      <ns0:c r="B1" s="190" t="str">
        <ns0:v>月份</ns0:v>
      </ns0:c>
      <ns0:c r="C1" s="190" t="str">
        <ns0:v>星期</ns0:v>
      </ns0:c>
      <ns0:c r="D1" s="190" t="str">
        <ns0:v>分类</ns0:v>
      </ns0:c>
      <ns0:c r="E1" s="190" t="str">
        <ns0:v>上班</ns0:v>
      </ns0:c>
      <ns0:c r="F1" s="190" t="str">
        <ns0:v>下班</ns0:v>
      </ns0:c>
      <ns0:c r="G1" s="190" t="str">
        <ns0:v>工作日超8分钟</ns0:v>
      </ns0:c>
      <ns0:c r="H1" s="190" t="str">
        <ns0:v>休息日出勤分钟</ns0:v>
      </ns0:c>
      <ns0:c r="I1" s="190" t="str">
        <ns0:v>工作日应付（月均基数）</ns0:v>
      </ns0:c>
      <ns0:c r="J1" s="190" t="str">
        <ns0:v>休息日金额（按周核算）</ns0:v>
      </ns0:c>
      <ns0:c r="K1" s="190"/>
      <ns0:c r="L1" s="190"/>
      <ns0:c r="M1" s="190" t="str">
        <ns0:v>页面标记</ns0:v>
      </ns0:c>
      <ns0:c r="N1" s="190" t="str">
        <ns0:v>原始截图1（绝对路径）</ns0:v>
      </ns0:c>
      <ns0:c r="O1" s="190" t="str">
        <ns0:v>原始截图2（绝对路径）</ns0:v>
      </ns0:c>
      <ns0:c r="P1" s="229" t="str">
        <ns0:v>4—8月日净工时</ns0:v>
      </ns0:c>
      <ns0:c r="Q1" s="229" t="str">
        <ns0:v>公司日档补贴比例</ns0:v>
      </ns0:c>
      <ns0:c r="R1" s="229" t="str">
        <ns0:v>工作日档位认可小时</ns0:v>
      </ns0:c>
      <ns0:c r="S1" s="229" t="str">
        <ns0:v>日档补贴点数（含休息日）</ns0:v>
      </ns0:c>
      <ns0:c r="T1" s="190" t="str">
        <ns0:v>参考扣午休分钟（非计薪）</ns0:v>
      </ns0:c>
      <ns0:c r="U1" s="190" t="str">
        <ns0:v>原始截图3</ns0:v>
      </ns0:c>
    </ns0:row>
    <ns0:row r="2" ht="24" customHeight="1">
      <ns0:c r="A2" s="191" t="str">
        <ns0:v>2025-12-19</ns0:v>
      </ns0:c>
      <ns0:c r="B2" s="191" t="str">
        <ns0:v>2025-12</ns0:v>
      </ns0:c>
      <ns0:c r="C2" s="191" t="str">
        <ns0:v>五</ns0:v>
      </ns0:c>
      <ns0:c r="D2" s="191" t="str">
        <ns0:v>工作日（含法定调班日）</ns0:v>
      </ns0:c>
      <ns0:c r="E2" s="191" t="str">
        <ns0:v>09:40</ns0:v>
      </ns0:c>
      <ns0:c r="F2" s="191" t="str">
        <ns0:v>21:03</ns0:v>
      </ns0:c>
      <ns0:c r="G2" s="214" t="n">
        <ns0:v>143</ns0:v>
      </ns0:c>
      <ns0:c r="H2" s="214" t="n">
        <ns0:v>0</ns0:v>
      </ns0:c>
      <ns0:c r="I2" s="192" t="n">
        <ns0:f>G2/60*'核算总览'!$B$3/(21.75*8)*1.5</ns0:f>
        <ns0:v>500.48312946998726</ns0:v>
      </ns0:c>
      <ns0:c r="J2" s="192"/>
      <ns0:c r="K2" s="192"/>
      <ns0:c r="L2" s="192"/>
      <ns0:c r="M2" s="191" t="str"/>
      <ns0:c r="N2" s="191" t="str">
        <ns0:v>/Users/a./Desktop/飞书考勤留存_2026-10-27/逐日原始打卡截图与汇总_2026-10-27/原始截图/2025-12-19_01_日历与上部.jpg</ns0:v>
      </ns0:c>
      <ns0:c r="O2" s="191" t="str">
        <ns0:v>/Users/a./Desktop/飞书考勤留存_2026-10-27/逐日原始打卡截图与汇总_2026-10-27/原始截图/2025-12-19_02_明细下部.jpg</ns0:v>
      </ns0:c>
      <ns0:c r="P2" s="215"/>
      <ns0:c r="Q2" s="230"/>
      <ns0:c r="R2" s="201"/>
      <ns0:c r="S2" s="201"/>
    </ns0:row>
    <ns0:row r="3" ht="24" customHeight="1">
      <ns0:c r="A3" s="191" t="str">
        <ns0:v>2025-12-22</ns0:v>
      </ns0:c>
      <ns0:c r="B3" s="191" t="str">
        <ns0:v>2025-12</ns0:v>
      </ns0:c>
      <ns0:c r="C3" s="191" t="str">
        <ns0:v>一</ns0:v>
      </ns0:c>
      <ns0:c r="D3" s="191" t="str">
        <ns0:v>工作日（含法定调班日）</ns0:v>
      </ns0:c>
      <ns0:c r="E3" s="191" t="str">
        <ns0:v>09:33</ns0:v>
      </ns0:c>
      <ns0:c r="F3" s="191" t="str">
        <ns0:v>20:08</ns0:v>
      </ns0:c>
      <ns0:c r="G3" s="214" t="n">
        <ns0:v>95</ns0:v>
      </ns0:c>
      <ns0:c r="H3" s="214" t="n">
        <ns0:v>0</ns0:v>
      </ns0:c>
      <ns0:c r="I3" s="192" t="n">
        <ns0:f>G3/60*'核算总览'!$B$3/(21.75*8)*1.5</ns0:f>
        <ns0:v>332.48879230523625</ns0:v>
      </ns0:c>
      <ns0:c r="J3" s="192"/>
      <ns0:c r="K3" s="192"/>
      <ns0:c r="L3" s="192"/>
      <ns0:c r="M3" s="191" t="str"/>
      <ns0:c r="N3" s="191" t="str">
        <ns0:v>/Users/a./Desktop/飞书考勤留存_2026-10-27/逐日原始打卡截图与汇总_2026-10-27/原始截图/2025-12-22_01_日历与上部.jpg</ns0:v>
      </ns0:c>
      <ns0:c r="O3" s="191" t="str">
        <ns0:v>/Users/a./Desktop/飞书考勤留存_2026-10-27/逐日原始打卡截图与汇总_2026-10-27/原始截图/2025-12-22_02_明细下部.jpg</ns0:v>
      </ns0:c>
      <ns0:c r="P3" s="215"/>
      <ns0:c r="Q3" s="230"/>
      <ns0:c r="R3" s="201"/>
      <ns0:c r="S3" s="201"/>
    </ns0:row>
    <ns0:row r="4" ht="24" customHeight="1">
      <ns0:c r="A4" s="191" t="str">
        <ns0:v>2025-12-23</ns0:v>
      </ns0:c>
      <ns0:c r="B4" s="191" t="str">
        <ns0:v>2025-12</ns0:v>
      </ns0:c>
      <ns0:c r="C4" s="191" t="str">
        <ns0:v>二</ns0:v>
      </ns0:c>
      <ns0:c r="D4" s="191" t="str">
        <ns0:v>工作日（含法定调班日）</ns0:v>
      </ns0:c>
      <ns0:c r="E4" s="191" t="str">
        <ns0:v>09:46</ns0:v>
      </ns0:c>
      <ns0:c r="F4" s="191" t="str">
        <ns0:v>19:30</ns0:v>
      </ns0:c>
      <ns0:c r="G4" s="214" t="n">
        <ns0:v>44</ns0:v>
      </ns0:c>
      <ns0:c r="H4" s="214" t="n">
        <ns0:v>0</ns0:v>
      </ns0:c>
      <ns0:c r="I4" s="192" t="n">
        <ns0:f>G4/60*'核算总览'!$B$3/(21.75*8)*1.5</ns0:f>
        <ns0:v>153.99480906768835</ns0:v>
      </ns0:c>
      <ns0:c r="J4" s="192"/>
      <ns0:c r="K4" s="192"/>
      <ns0:c r="L4" s="192"/>
      <ns0:c r="M4" s="191" t="str"/>
      <ns0:c r="N4" s="191" t="str">
        <ns0:v>/Users/a./Desktop/飞书考勤留存_2026-10-27/逐日原始打卡截图与汇总_2026-10-27/原始截图/2025-12-23_01_日历与上部.jpg</ns0:v>
      </ns0:c>
      <ns0:c r="O4" s="191" t="str">
        <ns0:v>/Users/a./Desktop/飞书考勤留存_2026-10-27/逐日原始打卡截图与汇总_2026-10-27/原始截图/2025-12-23_02_明细下部.jpg</ns0:v>
      </ns0:c>
      <ns0:c r="P4" s="215"/>
      <ns0:c r="Q4" s="230"/>
      <ns0:c r="R4" s="201"/>
      <ns0:c r="S4" s="201"/>
    </ns0:row>
    <ns0:row r="5" ht="24" customHeight="1">
      <ns0:c r="A5" s="191" t="str">
        <ns0:v>2025-12-24</ns0:v>
      </ns0:c>
      <ns0:c r="B5" s="191" t="str">
        <ns0:v>2025-12</ns0:v>
      </ns0:c>
      <ns0:c r="C5" s="191" t="str">
        <ns0:v>三</ns0:v>
      </ns0:c>
      <ns0:c r="D5" s="191" t="str">
        <ns0:v>工作日（含法定调班日）</ns0:v>
      </ns0:c>
      <ns0:c r="E5" s="191" t="str">
        <ns0:v>09:48</ns0:v>
      </ns0:c>
      <ns0:c r="F5" s="191" t="str">
        <ns0:v>20:18</ns0:v>
      </ns0:c>
      <ns0:c r="G5" s="214" t="n">
        <ns0:v>90</ns0:v>
      </ns0:c>
      <ns0:c r="H5" s="214" t="n">
        <ns0:v>0</ns0:v>
      </ns0:c>
      <ns0:c r="I5" s="192" t="n">
        <ns0:f>G5/60*'核算总览'!$B$3/(21.75*8)*1.5</ns0:f>
        <ns0:v>314.98938218390805</ns0:v>
      </ns0:c>
      <ns0:c r="J5" s="192"/>
      <ns0:c r="K5" s="192"/>
      <ns0:c r="L5" s="192"/>
      <ns0:c r="M5" s="191" t="str"/>
      <ns0:c r="N5" s="191" t="str">
        <ns0:v>/Users/a./Desktop/飞书考勤留存_2026-10-27/逐日原始打卡截图与汇总_2026-10-27/原始截图/2025-12-24_01_日历与上部.jpg</ns0:v>
      </ns0:c>
      <ns0:c r="O5" s="191" t="str">
        <ns0:v>/Users/a./Desktop/飞书考勤留存_2026-10-27/逐日原始打卡截图与汇总_2026-10-27/原始截图/2025-12-24_02_明细下部.jpg</ns0:v>
      </ns0:c>
      <ns0:c r="P5" s="215"/>
      <ns0:c r="Q5" s="230"/>
      <ns0:c r="R5" s="201"/>
      <ns0:c r="S5" s="201"/>
    </ns0:row>
    <ns0:row r="6" ht="24" customHeight="1">
      <ns0:c r="A6" s="191" t="str">
        <ns0:v>2025-12-25</ns0:v>
      </ns0:c>
      <ns0:c r="B6" s="191" t="str">
        <ns0:v>2025-12</ns0:v>
      </ns0:c>
      <ns0:c r="C6" s="191" t="str">
        <ns0:v>四</ns0:v>
      </ns0:c>
      <ns0:c r="D6" s="191" t="str">
        <ns0:v>工作日（含法定调班日）</ns0:v>
      </ns0:c>
      <ns0:c r="E6" s="191" t="str">
        <ns0:v>09:47</ns0:v>
      </ns0:c>
      <ns0:c r="F6" s="191" t="str">
        <ns0:v>19:30</ns0:v>
      </ns0:c>
      <ns0:c r="G6" s="214" t="n">
        <ns0:v>43</ns0:v>
      </ns0:c>
      <ns0:c r="H6" s="214" t="n">
        <ns0:v>0</ns0:v>
      </ns0:c>
      <ns0:c r="I6" s="192" t="n">
        <ns0:f>G6/60*'核算总览'!$B$3/(21.75*8)*1.5</ns0:f>
        <ns0:v>150.4949270434227</ns0:v>
      </ns0:c>
      <ns0:c r="J6" s="192"/>
      <ns0:c r="K6" s="192"/>
      <ns0:c r="L6" s="192"/>
      <ns0:c r="M6" s="191" t="str"/>
      <ns0:c r="N6" s="191" t="str">
        <ns0:v>/Users/a./Desktop/飞书考勤留存_2026-10-27/逐日原始打卡截图与汇总_2026-10-27/原始截图/2025-12-25_01_日历与上部.jpg</ns0:v>
      </ns0:c>
      <ns0:c r="O6" s="191" t="str">
        <ns0:v>/Users/a./Desktop/飞书考勤留存_2026-10-27/逐日原始打卡截图与汇总_2026-10-27/原始截图/2025-12-25_02_明细下部.jpg</ns0:v>
      </ns0:c>
      <ns0:c r="P6" s="215"/>
      <ns0:c r="Q6" s="230"/>
      <ns0:c r="R6" s="201"/>
      <ns0:c r="S6" s="201"/>
    </ns0:row>
    <ns0:row r="7" ht="24" customHeight="1">
      <ns0:c r="A7" s="191" t="str">
        <ns0:v>2025-12-27</ns0:v>
      </ns0:c>
      <ns0:c r="B7" s="191" t="str">
        <ns0:v>2025-12</ns0:v>
      </ns0:c>
      <ns0:c r="C7" s="191" t="str">
        <ns0:v>六</ns0:v>
      </ns0:c>
      <ns0:c r="D7" s="191" t="str">
        <ns0:v>休息日或假期</ns0:v>
      </ns0:c>
      <ns0:c r="E7" s="191" t="str">
        <ns0:v>09:49</ns0:v>
      </ns0:c>
      <ns0:c r="F7" s="191" t="str">
        <ns0:v>20:10</ns0:v>
      </ns0:c>
      <ns0:c r="G7" s="214" t="n">
        <ns0:v>0</ns0:v>
      </ns0:c>
      <ns0:c r="H7" s="214" t="n">
        <ns0:v>561</ns0:v>
      </ns0:c>
      <ns0:c r="I7" s="192" t="n">
        <ns0:f>G7/60*'核算总览'!$B$3/(21.75*8)*1.5</ns0:f>
        <ns0:v>0</ns0:v>
      </ns0:c>
      <ns0:c r="J7" s="192"/>
      <ns0:c r="K7" s="192"/>
      <ns0:c r="L7" s="192"/>
      <ns0:c r="M7" s="191" t="str"/>
      <ns0:c r="N7" s="191" t="str">
        <ns0:v>/Users/a./Desktop/飞书考勤留存_2026-10-27/逐日原始打卡截图与汇总_2026-10-27/原始截图/2025-12-27_01_日历与上部.jpg</ns0:v>
      </ns0:c>
      <ns0:c r="O7" s="191" t="str">
        <ns0:v>/Users/a./Desktop/飞书考勤留存_2026-10-27/逐日原始打卡截图与汇总_2026-10-27/原始截图/2025-12-27_02_明细下部.jpg</ns0:v>
      </ns0:c>
      <ns0:c r="P7" s="215"/>
      <ns0:c r="Q7" s="230"/>
      <ns0:c r="R7" s="201"/>
      <ns0:c r="S7" s="201"/>
    </ns0:row>
    <ns0:row r="8" ht="24" customHeight="1">
      <ns0:c r="A8" s="191" t="str">
        <ns0:v>2025-12-28</ns0:v>
      </ns0:c>
      <ns0:c r="B8" s="191" t="str">
        <ns0:v>2025-12</ns0:v>
      </ns0:c>
      <ns0:c r="C8" s="191" t="str">
        <ns0:v>日</ns0:v>
      </ns0:c>
      <ns0:c r="D8" s="191" t="str">
        <ns0:v>休息日或假期</ns0:v>
      </ns0:c>
      <ns0:c r="E8" s="191" t="str">
        <ns0:v>09:46</ns0:v>
      </ns0:c>
      <ns0:c r="F8" s="191" t="str">
        <ns0:v>19:54</ns0:v>
      </ns0:c>
      <ns0:c r="G8" s="214" t="n">
        <ns0:v>0</ns0:v>
      </ns0:c>
      <ns0:c r="H8" s="214" t="n">
        <ns0:v>548</ns0:v>
      </ns0:c>
      <ns0:c r="I8" s="192" t="n">
        <ns0:f>G8/60*'核算总览'!$B$3/(21.75*8)*1.5</ns0:f>
        <ns0:v>0</ns0:v>
      </ns0:c>
      <ns0:c r="J8" s="192"/>
      <ns0:c r="K8" s="192"/>
      <ns0:c r="L8" s="192"/>
      <ns0:c r="M8" s="191" t="str"/>
      <ns0:c r="N8" s="191" t="str">
        <ns0:v>/Users/a./Desktop/飞书考勤留存_2026-10-27/逐日原始打卡截图与汇总_2026-10-27/原始截图/2025-12-28_01_日历与上部.jpg</ns0:v>
      </ns0:c>
      <ns0:c r="O8" s="191" t="str">
        <ns0:v>/Users/a./Desktop/飞书考勤留存_2026-10-27/逐日原始打卡截图与汇总_2026-10-27/原始截图/2025-12-28_02_明细下部.jpg</ns0:v>
      </ns0:c>
      <ns0:c r="P8" s="215"/>
      <ns0:c r="Q8" s="230"/>
      <ns0:c r="R8" s="201"/>
      <ns0:c r="S8" s="201"/>
    </ns0:row>
    <ns0:row r="9" ht="24" customHeight="1">
      <ns0:c r="A9" s="191" t="str">
        <ns0:v>2025-12-29</ns0:v>
      </ns0:c>
      <ns0:c r="B9" s="191" t="str">
        <ns0:v>2025-12</ns0:v>
      </ns0:c>
      <ns0:c r="C9" s="191" t="str">
        <ns0:v>一</ns0:v>
      </ns0:c>
      <ns0:c r="D9" s="191" t="str">
        <ns0:v>工作日（含法定调班日）</ns0:v>
      </ns0:c>
      <ns0:c r="E9" s="191" t="str">
        <ns0:v>09:48</ns0:v>
      </ns0:c>
      <ns0:c r="F9" s="191" t="str">
        <ns0:v>20:00</ns0:v>
      </ns0:c>
      <ns0:c r="G9" s="214" t="n">
        <ns0:v>72</ns0:v>
      </ns0:c>
      <ns0:c r="H9" s="214" t="n">
        <ns0:v>0</ns0:v>
      </ns0:c>
      <ns0:c r="I9" s="192" t="n">
        <ns0:f>G9/60*'核算总览'!$B$3/(21.75*8)*1.5</ns0:f>
        <ns0:v>251.99150574712644</ns0:v>
      </ns0:c>
      <ns0:c r="J9" s="192"/>
      <ns0:c r="K9" s="192"/>
      <ns0:c r="L9" s="192"/>
      <ns0:c r="M9" s="191" t="str"/>
      <ns0:c r="N9" s="191" t="str">
        <ns0:v>/Users/a./Desktop/飞书考勤留存_2026-10-27/逐日原始打卡截图与汇总_2026-10-27/原始截图/2025-12-29_01_日历与上部.jpg</ns0:v>
      </ns0:c>
      <ns0:c r="O9" s="191" t="str">
        <ns0:v>/Users/a./Desktop/飞书考勤留存_2026-10-27/逐日原始打卡截图与汇总_2026-10-27/原始截图/2025-12-29_02_明细下部.jpg</ns0:v>
      </ns0:c>
      <ns0:c r="P9" s="215"/>
      <ns0:c r="Q9" s="230"/>
      <ns0:c r="R9" s="201"/>
      <ns0:c r="S9" s="201"/>
    </ns0:row>
    <ns0:row r="10" ht="24" customHeight="1">
      <ns0:c r="A10" s="191" t="str">
        <ns0:v>2025-12-30</ns0:v>
      </ns0:c>
      <ns0:c r="B10" s="191" t="str">
        <ns0:v>2025-12</ns0:v>
      </ns0:c>
      <ns0:c r="C10" s="191" t="str">
        <ns0:v>二</ns0:v>
      </ns0:c>
      <ns0:c r="D10" s="191" t="str">
        <ns0:v>工作日（含法定调班日）</ns0:v>
      </ns0:c>
      <ns0:c r="E10" s="191" t="str">
        <ns0:v>09:54</ns0:v>
      </ns0:c>
      <ns0:c r="F10" s="191" t="str">
        <ns0:v>19:38</ns0:v>
      </ns0:c>
      <ns0:c r="G10" s="214" t="n">
        <ns0:v>44</ns0:v>
      </ns0:c>
      <ns0:c r="H10" s="214" t="n">
        <ns0:v>0</ns0:v>
      </ns0:c>
      <ns0:c r="I10" s="192" t="n">
        <ns0:f>G10/60*'核算总览'!$B$3/(21.75*8)*1.5</ns0:f>
        <ns0:v>153.99480906768835</ns0:v>
      </ns0:c>
      <ns0:c r="J10" s="192"/>
      <ns0:c r="K10" s="192"/>
      <ns0:c r="L10" s="192"/>
      <ns0:c r="M10" s="191" t="str"/>
      <ns0:c r="N10" s="191" t="str">
        <ns0:v>/Users/a./Desktop/飞书考勤留存_2026-10-27/逐日原始打卡截图与汇总_2026-10-27/原始截图/2025-12-30_01_日历与上部.jpg</ns0:v>
      </ns0:c>
      <ns0:c r="O10" s="191" t="str">
        <ns0:v>/Users/a./Desktop/飞书考勤留存_2026-10-27/逐日原始打卡截图与汇总_2026-10-27/原始截图/2025-12-30_02_明细下部.jpg</ns0:v>
      </ns0:c>
      <ns0:c r="P10" s="215"/>
      <ns0:c r="Q10" s="230"/>
      <ns0:c r="R10" s="201"/>
      <ns0:c r="S10" s="201"/>
    </ns0:row>
    <ns0:row r="11" ht="24" customHeight="1">
      <ns0:c r="A11" s="191" t="str">
        <ns0:v>2025-12-31</ns0:v>
      </ns0:c>
      <ns0:c r="B11" s="191" t="str">
        <ns0:v>2025-12</ns0:v>
      </ns0:c>
      <ns0:c r="C11" s="191" t="str">
        <ns0:v>三</ns0:v>
      </ns0:c>
      <ns0:c r="D11" s="191" t="str">
        <ns0:v>工作日（含法定调班日）</ns0:v>
      </ns0:c>
      <ns0:c r="E11" s="191" t="str">
        <ns0:v>09:53</ns0:v>
      </ns0:c>
      <ns0:c r="F11" s="191" t="str">
        <ns0:v>19:26</ns0:v>
      </ns0:c>
      <ns0:c r="G11" s="214" t="n">
        <ns0:v>33</ns0:v>
      </ns0:c>
      <ns0:c r="H11" s="214" t="n">
        <ns0:v>0</ns0:v>
      </ns0:c>
      <ns0:c r="I11" s="192" t="n">
        <ns0:f>G11/60*'核算总览'!$B$3/(21.75*8)*1.5</ns0:f>
        <ns0:v>115.49610680076628</ns0:v>
      </ns0:c>
      <ns0:c r="J11" s="192"/>
      <ns0:c r="K11" s="192"/>
      <ns0:c r="L11" s="192"/>
      <ns0:c r="M11" s="191" t="str"/>
      <ns0:c r="N11" s="191" t="str">
        <ns0:v>/Users/a./Desktop/飞书考勤留存_2026-10-27/逐日原始打卡截图与汇总_2026-10-27/原始截图/2025-12-31_01_日历与上部.jpg</ns0:v>
      </ns0:c>
      <ns0:c r="O11" s="191" t="str">
        <ns0:v>/Users/a./Desktop/飞书考勤留存_2026-10-27/逐日原始打卡截图与汇总_2026-10-27/原始截图/2025-12-31_02_明细下部.jpg</ns0:v>
      </ns0:c>
      <ns0:c r="P11" s="215"/>
      <ns0:c r="Q11" s="230"/>
      <ns0:c r="R11" s="201"/>
      <ns0:c r="S11" s="201"/>
    </ns0:row>
    <ns0:row r="12" ht="24" customHeight="1">
      <ns0:c r="A12" s="191" t="str">
        <ns0:v>2026-01-04</ns0:v>
      </ns0:c>
      <ns0:c r="B12" s="191" t="str">
        <ns0:v>2026-01</ns0:v>
      </ns0:c>
      <ns0:c r="C12" s="191" t="str">
        <ns0:v>日</ns0:v>
      </ns0:c>
      <ns0:c r="D12" s="191" t="str">
        <ns0:v>工作日（含法定调班日）</ns0:v>
      </ns0:c>
      <ns0:c r="E12" s="191" t="str">
        <ns0:v>09:45</ns0:v>
      </ns0:c>
      <ns0:c r="F12" s="191" t="str">
        <ns0:v>19:53</ns0:v>
      </ns0:c>
      <ns0:c r="G12" s="214" t="n">
        <ns0:v>68</ns0:v>
      </ns0:c>
      <ns0:c r="H12" s="214" t="n">
        <ns0:v>0</ns0:v>
      </ns0:c>
      <ns0:c r="I12" s="192" t="n">
        <ns0:f>G12/60*'核算总览'!$B$3/(21.75*8)*1.5</ns0:f>
        <ns0:v>237.99197765006386</ns0:v>
      </ns0:c>
      <ns0:c r="J12" s="192"/>
      <ns0:c r="K12" s="192"/>
      <ns0:c r="L12" s="192"/>
      <ns0:c r="M12" s="191" t="str"/>
      <ns0:c r="N12" s="191" t="str">
        <ns0:v>/Users/a./Desktop/飞书考勤留存_2026-10-27/逐日原始打卡截图与汇总_2026-10-27/原始截图/2026-01-04_01_日历与上部.jpg</ns0:v>
      </ns0:c>
      <ns0:c r="O12" s="191" t="str">
        <ns0:v>/Users/a./Desktop/飞书考勤留存_2026-10-27/逐日原始打卡截图与汇总_2026-10-27/原始截图/2026-01-04_02_明细下部.jpg</ns0:v>
      </ns0:c>
      <ns0:c r="P12" s="215"/>
      <ns0:c r="Q12" s="230"/>
      <ns0:c r="R12" s="201"/>
      <ns0:c r="S12" s="201"/>
    </ns0:row>
    <ns0:row r="13" ht="24" customHeight="1">
      <ns0:c r="A13" s="191" t="str">
        <ns0:v>2026-01-05</ns0:v>
      </ns0:c>
      <ns0:c r="B13" s="191" t="str">
        <ns0:v>2026-01</ns0:v>
      </ns0:c>
      <ns0:c r="C13" s="191" t="str">
        <ns0:v>一</ns0:v>
      </ns0:c>
      <ns0:c r="D13" s="191" t="str">
        <ns0:v>工作日（含法定调班日）</ns0:v>
      </ns0:c>
      <ns0:c r="E13" s="191" t="str">
        <ns0:v>09:53</ns0:v>
      </ns0:c>
      <ns0:c r="F13" s="191" t="str">
        <ns0:v>20:03</ns0:v>
      </ns0:c>
      <ns0:c r="G13" s="214" t="n">
        <ns0:v>70</ns0:v>
      </ns0:c>
      <ns0:c r="H13" s="214" t="n">
        <ns0:v>0</ns0:v>
      </ns0:c>
      <ns0:c r="I13" s="192" t="n">
        <ns0:f>G13/60*'核算总览'!$B$3/(21.75*8)*1.5</ns0:f>
        <ns0:v>244.99174169859515</ns0:v>
      </ns0:c>
      <ns0:c r="J13" s="192"/>
      <ns0:c r="K13" s="192"/>
      <ns0:c r="L13" s="192"/>
      <ns0:c r="M13" s="191" t="str"/>
      <ns0:c r="N13" s="191" t="str">
        <ns0:v>/Users/a./Desktop/飞书考勤留存_2026-10-27/逐日原始打卡截图与汇总_2026-10-27/原始截图/2026-01-05_01_日历与上部.jpg</ns0:v>
      </ns0:c>
      <ns0:c r="O13" s="191" t="str">
        <ns0:v>/Users/a./Desktop/飞书考勤留存_2026-10-27/逐日原始打卡截图与汇总_2026-10-27/原始截图/2026-01-05_02_明细下部.jpg</ns0:v>
      </ns0:c>
      <ns0:c r="P13" s="215"/>
      <ns0:c r="Q13" s="230"/>
      <ns0:c r="R13" s="201"/>
      <ns0:c r="S13" s="201"/>
    </ns0:row>
    <ns0:row r="14" ht="24" customHeight="1">
      <ns0:c r="A14" s="191" t="str">
        <ns0:v>2026-01-07</ns0:v>
      </ns0:c>
      <ns0:c r="B14" s="191" t="str">
        <ns0:v>2026-01</ns0:v>
      </ns0:c>
      <ns0:c r="C14" s="191" t="str">
        <ns0:v>三</ns0:v>
      </ns0:c>
      <ns0:c r="D14" s="191" t="str">
        <ns0:v>工作日（含法定调班日）</ns0:v>
      </ns0:c>
      <ns0:c r="E14" s="191" t="str">
        <ns0:v>09:42</ns0:v>
      </ns0:c>
      <ns0:c r="F14" s="191" t="str">
        <ns0:v>19:49</ns0:v>
      </ns0:c>
      <ns0:c r="G14" s="214" t="n">
        <ns0:v>67</ns0:v>
      </ns0:c>
      <ns0:c r="H14" s="214" t="n">
        <ns0:v>0</ns0:v>
      </ns0:c>
      <ns0:c r="I14" s="192" t="n">
        <ns0:f>G14/60*'核算总览'!$B$3/(21.75*8)*1.5</ns0:f>
        <ns0:v>234.49209562579819</ns0:v>
      </ns0:c>
      <ns0:c r="J14" s="192"/>
      <ns0:c r="K14" s="192"/>
      <ns0:c r="L14" s="192"/>
      <ns0:c r="M14" s="191" t="str"/>
      <ns0:c r="N14" s="191" t="str">
        <ns0:v>/Users/a./Desktop/飞书考勤留存_2026-10-27/逐日原始打卡截图与汇总_2026-10-27/原始截图/2026-01-07_01_日历与上部.jpg</ns0:v>
      </ns0:c>
      <ns0:c r="O14" s="191" t="str">
        <ns0:v>/Users/a./Desktop/飞书考勤留存_2026-10-27/逐日原始打卡截图与汇总_2026-10-27/原始截图/2026-01-07_02_明细下部.jpg</ns0:v>
      </ns0:c>
      <ns0:c r="P14" s="215"/>
      <ns0:c r="Q14" s="230"/>
      <ns0:c r="R14" s="201"/>
      <ns0:c r="S14" s="201"/>
    </ns0:row>
    <ns0:row r="15" ht="24" customHeight="1">
      <ns0:c r="A15" s="191" t="str">
        <ns0:v>2026-01-08</ns0:v>
      </ns0:c>
      <ns0:c r="B15" s="191" t="str">
        <ns0:v>2026-01</ns0:v>
      </ns0:c>
      <ns0:c r="C15" s="191" t="str">
        <ns0:v>四</ns0:v>
      </ns0:c>
      <ns0:c r="D15" s="191" t="str">
        <ns0:v>工作日（含法定调班日）</ns0:v>
      </ns0:c>
      <ns0:c r="E15" s="191" t="str">
        <ns0:v>10:00</ns0:v>
      </ns0:c>
      <ns0:c r="F15" s="191" t="str">
        <ns0:v>22:51</ns0:v>
      </ns0:c>
      <ns0:c r="G15" s="214" t="n">
        <ns0:v>231</ns0:v>
      </ns0:c>
      <ns0:c r="H15" s="214" t="n">
        <ns0:v>0</ns0:v>
      </ns0:c>
      <ns0:c r="I15" s="192" t="n">
        <ns0:f>G15/60*'核算总览'!$B$3/(21.75*8)*1.5</ns0:f>
        <ns0:v>808.4727476053639</ns0:v>
      </ns0:c>
      <ns0:c r="J15" s="192"/>
      <ns0:c r="K15" s="192"/>
      <ns0:c r="L15" s="192"/>
      <ns0:c r="M15" s="191" t="str"/>
      <ns0:c r="N15" s="191" t="str">
        <ns0:v>/Users/a./Desktop/飞书考勤留存_2026-10-27/逐日原始打卡截图与汇总_2026-10-27/原始截图/2026-01-08_01_日历与上部.jpg</ns0:v>
      </ns0:c>
      <ns0:c r="O15" s="191" t="str">
        <ns0:v>/Users/a./Desktop/飞书考勤留存_2026-10-27/逐日原始打卡截图与汇总_2026-10-27/原始截图/2026-01-08_02_明细下部.jpg</ns0:v>
      </ns0:c>
      <ns0:c r="P15" s="215"/>
      <ns0:c r="Q15" s="230"/>
      <ns0:c r="R15" s="201"/>
      <ns0:c r="S15" s="201"/>
    </ns0:row>
    <ns0:row r="16" ht="24" customHeight="1">
      <ns0:c r="A16" s="191" t="str">
        <ns0:v>2026-01-10</ns0:v>
      </ns0:c>
      <ns0:c r="B16" s="191" t="str">
        <ns0:v>2026-01</ns0:v>
      </ns0:c>
      <ns0:c r="C16" s="191" t="str">
        <ns0:v>六</ns0:v>
      </ns0:c>
      <ns0:c r="D16" s="191" t="str">
        <ns0:v>休息日或假期</ns0:v>
      </ns0:c>
      <ns0:c r="E16" s="191" t="str">
        <ns0:v>09:48</ns0:v>
      </ns0:c>
      <ns0:c r="F16" s="191" t="str">
        <ns0:v>22:51</ns0:v>
      </ns0:c>
      <ns0:c r="G16" s="214" t="n">
        <ns0:v>0</ns0:v>
      </ns0:c>
      <ns0:c r="H16" s="214" t="n">
        <ns0:v>723</ns0:v>
      </ns0:c>
      <ns0:c r="I16" s="192" t="n">
        <ns0:f>G16/60*'核算总览'!$B$3/(21.75*8)*1.5</ns0:f>
        <ns0:v>0</ns0:v>
      </ns0:c>
      <ns0:c r="J16" s="192"/>
      <ns0:c r="K16" s="192"/>
      <ns0:c r="L16" s="192"/>
      <ns0:c r="M16" s="191" t="str"/>
      <ns0:c r="N16" s="191" t="str">
        <ns0:v>/Users/a./Desktop/飞书考勤留存_2026-10-27/逐日原始打卡截图与汇总_2026-10-27/原始截图/2026-01-10_01_日历与上部.jpg</ns0:v>
      </ns0:c>
      <ns0:c r="O16" s="191" t="str">
        <ns0:v>/Users/a./Desktop/飞书考勤留存_2026-10-27/逐日原始打卡截图与汇总_2026-10-27/原始截图/2026-01-10_02_明细下部.jpg</ns0:v>
      </ns0:c>
      <ns0:c r="P16" s="215"/>
      <ns0:c r="Q16" s="230"/>
      <ns0:c r="R16" s="201"/>
      <ns0:c r="S16" s="201"/>
    </ns0:row>
    <ns0:row r="17" ht="24" customHeight="1">
      <ns0:c r="A17" s="191" t="str">
        <ns0:v>2026-01-11</ns0:v>
      </ns0:c>
      <ns0:c r="B17" s="191" t="str">
        <ns0:v>2026-01</ns0:v>
      </ns0:c>
      <ns0:c r="C17" s="191" t="str">
        <ns0:v>日</ns0:v>
      </ns0:c>
      <ns0:c r="D17" s="191" t="str">
        <ns0:v>休息日或假期</ns0:v>
      </ns0:c>
      <ns0:c r="E17" s="191" t="str">
        <ns0:v>09:49</ns0:v>
      </ns0:c>
      <ns0:c r="F17" s="191" t="str">
        <ns0:v>20:14</ns0:v>
      </ns0:c>
      <ns0:c r="G17" s="214" t="n">
        <ns0:v>0</ns0:v>
      </ns0:c>
      <ns0:c r="H17" s="214" t="n">
        <ns0:v>565</ns0:v>
      </ns0:c>
      <ns0:c r="I17" s="192" t="n">
        <ns0:f>G17/60*'核算总览'!$B$3/(21.75*8)*1.5</ns0:f>
        <ns0:v>0</ns0:v>
      </ns0:c>
      <ns0:c r="J17" s="192"/>
      <ns0:c r="K17" s="192"/>
      <ns0:c r="L17" s="192"/>
      <ns0:c r="M17" s="191" t="str"/>
      <ns0:c r="N17" s="191" t="str">
        <ns0:v>/Users/a./Desktop/飞书考勤留存_2026-10-27/逐日原始打卡截图与汇总_2026-10-27/原始截图/2026-01-11_01_日历与上部.jpg</ns0:v>
      </ns0:c>
      <ns0:c r="O17" s="191" t="str">
        <ns0:v>/Users/a./Desktop/飞书考勤留存_2026-10-27/逐日原始打卡截图与汇总_2026-10-27/原始截图/2026-01-11_02_明细下部.jpg</ns0:v>
      </ns0:c>
      <ns0:c r="P17" s="215"/>
      <ns0:c r="Q17" s="230"/>
      <ns0:c r="R17" s="201"/>
      <ns0:c r="S17" s="201"/>
    </ns0:row>
    <ns0:row r="18" ht="24" customHeight="1">
      <ns0:c r="A18" s="191" t="str">
        <ns0:v>2026-01-12</ns0:v>
      </ns0:c>
      <ns0:c r="B18" s="191" t="str">
        <ns0:v>2026-01</ns0:v>
      </ns0:c>
      <ns0:c r="C18" s="191" t="str">
        <ns0:v>一</ns0:v>
      </ns0:c>
      <ns0:c r="D18" s="191" t="str">
        <ns0:v>工作日（含法定调班日）</ns0:v>
      </ns0:c>
      <ns0:c r="E18" s="191" t="str">
        <ns0:v>09:53</ns0:v>
      </ns0:c>
      <ns0:c r="F18" s="191" t="str">
        <ns0:v>19:45</ns0:v>
      </ns0:c>
      <ns0:c r="G18" s="214" t="n">
        <ns0:v>52</ns0:v>
      </ns0:c>
      <ns0:c r="H18" s="214" t="n">
        <ns0:v>0</ns0:v>
      </ns0:c>
      <ns0:c r="I18" s="192" t="n">
        <ns0:f>G18/60*'核算总览'!$B$3/(21.75*8)*1.5</ns0:f>
        <ns0:v>181.99386526181354</ns0:v>
      </ns0:c>
      <ns0:c r="J18" s="192"/>
      <ns0:c r="K18" s="192"/>
      <ns0:c r="L18" s="192"/>
      <ns0:c r="M18" s="191" t="str"/>
      <ns0:c r="N18" s="191" t="str">
        <ns0:v>/Users/a./Desktop/飞书考勤留存_2026-10-27/逐日原始打卡截图与汇总_2026-10-27/原始截图/2026-01-12_01_日历与上部.jpg</ns0:v>
      </ns0:c>
      <ns0:c r="O18" s="191" t="str">
        <ns0:v>/Users/a./Desktop/飞书考勤留存_2026-10-27/逐日原始打卡截图与汇总_2026-10-27/原始截图/2026-01-12_02_明细下部.jpg</ns0:v>
      </ns0:c>
      <ns0:c r="P18" s="215"/>
      <ns0:c r="Q18" s="230"/>
      <ns0:c r="R18" s="201"/>
      <ns0:c r="S18" s="201"/>
    </ns0:row>
    <ns0:row r="19" ht="24" customHeight="1">
      <ns0:c r="A19" s="191" t="str">
        <ns0:v>2026-01-13</ns0:v>
      </ns0:c>
      <ns0:c r="B19" s="191" t="str">
        <ns0:v>2026-01</ns0:v>
      </ns0:c>
      <ns0:c r="C19" s="191" t="str">
        <ns0:v>二</ns0:v>
      </ns0:c>
      <ns0:c r="D19" s="191" t="str">
        <ns0:v>工作日（含法定调班日）</ns0:v>
      </ns0:c>
      <ns0:c r="E19" s="191" t="str">
        <ns0:v>09:52</ns0:v>
      </ns0:c>
      <ns0:c r="F19" s="191" t="str">
        <ns0:v>23:06</ns0:v>
      </ns0:c>
      <ns0:c r="G19" s="214" t="n">
        <ns0:v>254</ns0:v>
      </ns0:c>
      <ns0:c r="H19" s="214" t="n">
        <ns0:v>0</ns0:v>
      </ns0:c>
      <ns0:c r="I19" s="192" t="n">
        <ns0:f>G19/60*'核算总览'!$B$3/(21.75*8)*1.5</ns0:f>
        <ns0:v>888.9700341634738</ns0:v>
      </ns0:c>
      <ns0:c r="J19" s="192"/>
      <ns0:c r="K19" s="192"/>
      <ns0:c r="L19" s="192"/>
      <ns0:c r="M19" s="191" t="str"/>
      <ns0:c r="N19" s="191" t="str">
        <ns0:v>/Users/a./Desktop/飞书考勤留存_2026-10-27/逐日原始打卡截图与汇总_2026-10-27/原始截图/2026-01-13_01_日历与上部.jpg</ns0:v>
      </ns0:c>
      <ns0:c r="O19" s="191" t="str">
        <ns0:v>/Users/a./Desktop/飞书考勤留存_2026-10-27/逐日原始打卡截图与汇总_2026-10-27/原始截图/2026-01-13_02_明细下部.jpg</ns0:v>
      </ns0:c>
      <ns0:c r="P19" s="215"/>
      <ns0:c r="Q19" s="230"/>
      <ns0:c r="R19" s="201"/>
      <ns0:c r="S19" s="201"/>
    </ns0:row>
    <ns0:row r="20" ht="24" customHeight="1">
      <ns0:c r="A20" s="191" t="str">
        <ns0:v>2026-01-14</ns0:v>
      </ns0:c>
      <ns0:c r="B20" s="191" t="str">
        <ns0:v>2026-01</ns0:v>
      </ns0:c>
      <ns0:c r="C20" s="191" t="str">
        <ns0:v>三</ns0:v>
      </ns0:c>
      <ns0:c r="D20" s="191" t="str">
        <ns0:v>工作日（含法定调班日）</ns0:v>
      </ns0:c>
      <ns0:c r="E20" s="191" t="str">
        <ns0:v>09:54</ns0:v>
      </ns0:c>
      <ns0:c r="F20" s="191" t="str">
        <ns0:v>19:25</ns0:v>
      </ns0:c>
      <ns0:c r="G20" s="214" t="n">
        <ns0:v>31</ns0:v>
      </ns0:c>
      <ns0:c r="H20" s="214" t="n">
        <ns0:v>0</ns0:v>
      </ns0:c>
      <ns0:c r="I20" s="192" t="n">
        <ns0:f>G20/60*'核算总览'!$B$3/(21.75*8)*1.5</ns0:f>
        <ns0:v>108.49634275223501</ns0:v>
      </ns0:c>
      <ns0:c r="J20" s="192"/>
      <ns0:c r="K20" s="192"/>
      <ns0:c r="L20" s="192"/>
      <ns0:c r="M20" s="191" t="str"/>
      <ns0:c r="N20" s="191" t="str">
        <ns0:v>/Users/a./Desktop/飞书考勤留存_2026-10-27/逐日原始打卡截图与汇总_2026-10-27/原始截图/2026-01-14_01_日历与上部.jpg</ns0:v>
      </ns0:c>
      <ns0:c r="O20" s="191" t="str">
        <ns0:v>/Users/a./Desktop/飞书考勤留存_2026-10-27/逐日原始打卡截图与汇总_2026-10-27/原始截图/2026-01-14_02_明细下部.jpg</ns0:v>
      </ns0:c>
      <ns0:c r="P20" s="215"/>
      <ns0:c r="Q20" s="230"/>
      <ns0:c r="R20" s="201"/>
      <ns0:c r="S20" s="201"/>
    </ns0:row>
    <ns0:row r="21" ht="24" customHeight="1">
      <ns0:c r="A21" s="191" t="str">
        <ns0:v>2026-01-15</ns0:v>
      </ns0:c>
      <ns0:c r="B21" s="191" t="str">
        <ns0:v>2026-01</ns0:v>
      </ns0:c>
      <ns0:c r="C21" s="191" t="str">
        <ns0:v>四</ns0:v>
      </ns0:c>
      <ns0:c r="D21" s="191" t="str">
        <ns0:v>工作日（含法定调班日）</ns0:v>
      </ns0:c>
      <ns0:c r="E21" s="191" t="str">
        <ns0:v>09:57</ns0:v>
      </ns0:c>
      <ns0:c r="F21" s="191" t="str">
        <ns0:v>19:09</ns0:v>
      </ns0:c>
      <ns0:c r="G21" s="214" t="n">
        <ns0:v>12</ns0:v>
      </ns0:c>
      <ns0:c r="H21" s="214" t="n">
        <ns0:v>0</ns0:v>
      </ns0:c>
      <ns0:c r="I21" s="192" t="n">
        <ns0:f>G21/60*'核算总览'!$B$3/(21.75*8)*1.5</ns0:f>
        <ns0:v>41.99858429118773</ns0:v>
      </ns0:c>
      <ns0:c r="J21" s="192"/>
      <ns0:c r="K21" s="192"/>
      <ns0:c r="L21" s="192"/>
      <ns0:c r="M21" s="191" t="str"/>
      <ns0:c r="N21" s="191" t="str">
        <ns0:v>/Users/a./Desktop/飞书考勤留存_2026-10-27/逐日原始打卡截图与汇总_2026-10-27/原始截图/2026-01-15_01_日历与上部.jpg</ns0:v>
      </ns0:c>
      <ns0:c r="O21" s="191" t="str">
        <ns0:v>/Users/a./Desktop/飞书考勤留存_2026-10-27/逐日原始打卡截图与汇总_2026-10-27/原始截图/2026-01-15_02_明细下部.jpg</ns0:v>
      </ns0:c>
      <ns0:c r="P21" s="215"/>
      <ns0:c r="Q21" s="230"/>
      <ns0:c r="R21" s="201"/>
      <ns0:c r="S21" s="201"/>
    </ns0:row>
    <ns0:row r="22" ht="24" customHeight="1">
      <ns0:c r="A22" s="191" t="str">
        <ns0:v>2026-01-16</ns0:v>
      </ns0:c>
      <ns0:c r="B22" s="191" t="str">
        <ns0:v>2026-01</ns0:v>
      </ns0:c>
      <ns0:c r="C22" s="191" t="str">
        <ns0:v>五</ns0:v>
      </ns0:c>
      <ns0:c r="D22" s="191" t="str">
        <ns0:v>工作日（含法定调班日）</ns0:v>
      </ns0:c>
      <ns0:c r="E22" s="191" t="str">
        <ns0:v>09:52</ns0:v>
      </ns0:c>
      <ns0:c r="F22" s="191" t="str">
        <ns0:v>19:35</ns0:v>
      </ns0:c>
      <ns0:c r="G22" s="214" t="n">
        <ns0:v>43</ns0:v>
      </ns0:c>
      <ns0:c r="H22" s="214" t="n">
        <ns0:v>0</ns0:v>
      </ns0:c>
      <ns0:c r="I22" s="192" t="n">
        <ns0:f>G22/60*'核算总览'!$B$3/(21.75*8)*1.5</ns0:f>
        <ns0:v>150.4949270434227</ns0:v>
      </ns0:c>
      <ns0:c r="J22" s="192"/>
      <ns0:c r="K22" s="192"/>
      <ns0:c r="L22" s="192"/>
      <ns0:c r="M22" s="191" t="str"/>
      <ns0:c r="N22" s="191" t="str">
        <ns0:v>/Users/a./Desktop/飞书考勤留存_2026-10-27/逐日原始打卡截图与汇总_2026-10-27/原始截图/2026-01-16_01_日历与上部.jpg</ns0:v>
      </ns0:c>
      <ns0:c r="O22" s="191" t="str">
        <ns0:v>/Users/a./Desktop/飞书考勤留存_2026-10-27/逐日原始打卡截图与汇总_2026-10-27/原始截图/2026-01-16_02_明细下部.jpg</ns0:v>
      </ns0:c>
      <ns0:c r="P22" s="215"/>
      <ns0:c r="Q22" s="230"/>
      <ns0:c r="R22" s="201"/>
      <ns0:c r="S22" s="201"/>
    </ns0:row>
    <ns0:row r="23" ht="24" customHeight="1">
      <ns0:c r="A23" s="191" t="str">
        <ns0:v>2026-01-20</ns0:v>
      </ns0:c>
      <ns0:c r="B23" s="191" t="str">
        <ns0:v>2026-01</ns0:v>
      </ns0:c>
      <ns0:c r="C23" s="191" t="str">
        <ns0:v>二</ns0:v>
      </ns0:c>
      <ns0:c r="D23" s="191" t="str">
        <ns0:v>工作日（含法定调班日）</ns0:v>
      </ns0:c>
      <ns0:c r="E23" s="191" t="str">
        <ns0:v>09:55</ns0:v>
      </ns0:c>
      <ns0:c r="F23" s="191" t="str">
        <ns0:v>19:45</ns0:v>
      </ns0:c>
      <ns0:c r="G23" s="214" t="n">
        <ns0:v>50</ns0:v>
      </ns0:c>
      <ns0:c r="H23" s="214" t="n">
        <ns0:v>0</ns0:v>
      </ns0:c>
      <ns0:c r="I23" s="192" t="n">
        <ns0:f>G23/60*'核算总览'!$B$3/(21.75*8)*1.5</ns0:f>
        <ns0:v>174.99410121328225</ns0:v>
      </ns0:c>
      <ns0:c r="J23" s="192"/>
      <ns0:c r="K23" s="192"/>
      <ns0:c r="L23" s="192"/>
      <ns0:c r="M23" s="191" t="str"/>
      <ns0:c r="N23" s="191" t="str">
        <ns0:v>/Users/a./Desktop/飞书考勤留存_2026-10-27/逐日原始打卡截图与汇总_2026-10-27/原始截图/2026-01-20_01_日历与上部.jpg</ns0:v>
      </ns0:c>
      <ns0:c r="O23" s="191" t="str">
        <ns0:v>/Users/a./Desktop/飞书考勤留存_2026-10-27/逐日原始打卡截图与汇总_2026-10-27/原始截图/2026-01-20_02_明细下部.jpg</ns0:v>
      </ns0:c>
      <ns0:c r="P23" s="215"/>
      <ns0:c r="Q23" s="230"/>
      <ns0:c r="R23" s="201"/>
      <ns0:c r="S23" s="201"/>
    </ns0:row>
    <ns0:row r="24" ht="24" customHeight="1">
      <ns0:c r="A24" s="191" t="str">
        <ns0:v>2026-01-21</ns0:v>
      </ns0:c>
      <ns0:c r="B24" s="191" t="str">
        <ns0:v>2026-01</ns0:v>
      </ns0:c>
      <ns0:c r="C24" s="191" t="str">
        <ns0:v>三</ns0:v>
      </ns0:c>
      <ns0:c r="D24" s="191" t="str">
        <ns0:v>工作日（含法定调班日）</ns0:v>
      </ns0:c>
      <ns0:c r="E24" s="191" t="str">
        <ns0:v>10:00</ns0:v>
      </ns0:c>
      <ns0:c r="F24" s="191" t="str">
        <ns0:v>20:01</ns0:v>
      </ns0:c>
      <ns0:c r="G24" s="214" t="n">
        <ns0:v>61</ns0:v>
      </ns0:c>
      <ns0:c r="H24" s="214" t="n">
        <ns0:v>0</ns0:v>
      </ns0:c>
      <ns0:c r="I24" s="192" t="n">
        <ns0:f>G24/60*'核算总览'!$B$3/(21.75*8)*1.5</ns0:f>
        <ns0:v>213.49280348020432</ns0:v>
      </ns0:c>
      <ns0:c r="J24" s="192"/>
      <ns0:c r="K24" s="192"/>
      <ns0:c r="L24" s="192"/>
      <ns0:c r="M24" s="191" t="str"/>
      <ns0:c r="N24" s="191" t="str">
        <ns0:v>/Users/a./Desktop/飞书考勤留存_2026-10-27/逐日原始打卡截图与汇总_2026-10-27/原始截图/2026-01-21_01_日历与上部.jpg</ns0:v>
      </ns0:c>
      <ns0:c r="O24" s="191" t="str">
        <ns0:v>/Users/a./Desktop/飞书考勤留存_2026-10-27/逐日原始打卡截图与汇总_2026-10-27/原始截图/2026-01-21_02_明细下部.jpg</ns0:v>
      </ns0:c>
      <ns0:c r="P24" s="215"/>
      <ns0:c r="Q24" s="230"/>
      <ns0:c r="R24" s="201"/>
      <ns0:c r="S24" s="201"/>
    </ns0:row>
    <ns0:row r="25" ht="24" customHeight="1">
      <ns0:c r="A25" s="191" t="str">
        <ns0:v>2026-01-22</ns0:v>
      </ns0:c>
      <ns0:c r="B25" s="191" t="str">
        <ns0:v>2026-01</ns0:v>
      </ns0:c>
      <ns0:c r="C25" s="191" t="str">
        <ns0:v>四</ns0:v>
      </ns0:c>
      <ns0:c r="D25" s="191" t="str">
        <ns0:v>工作日（含法定调班日）</ns0:v>
      </ns0:c>
      <ns0:c r="E25" s="191" t="str">
        <ns0:v>09:56</ns0:v>
      </ns0:c>
      <ns0:c r="F25" s="191" t="str">
        <ns0:v>20:00</ns0:v>
      </ns0:c>
      <ns0:c r="G25" s="214" t="n">
        <ns0:v>64</ns0:v>
      </ns0:c>
      <ns0:c r="H25" s="214" t="n">
        <ns0:v>0</ns0:v>
      </ns0:c>
      <ns0:c r="I25" s="192" t="n">
        <ns0:f>G25/60*'核算总览'!$B$3/(21.75*8)*1.5</ns0:f>
        <ns0:v>223.99244955300128</ns0:v>
      </ns0:c>
      <ns0:c r="J25" s="192"/>
      <ns0:c r="K25" s="192"/>
      <ns0:c r="L25" s="192"/>
      <ns0:c r="M25" s="191" t="str"/>
      <ns0:c r="N25" s="191" t="str">
        <ns0:v>/Users/a./Desktop/飞书考勤留存_2026-10-27/逐日原始打卡截图与汇总_2026-10-27/原始截图/2026-01-22_01_日历与上部.jpg</ns0:v>
      </ns0:c>
      <ns0:c r="O25" s="191" t="str">
        <ns0:v>/Users/a./Desktop/飞书考勤留存_2026-10-27/逐日原始打卡截图与汇总_2026-10-27/原始截图/2026-01-22_02_明细下部.jpg</ns0:v>
      </ns0:c>
      <ns0:c r="P25" s="215"/>
      <ns0:c r="Q25" s="230"/>
      <ns0:c r="R25" s="201"/>
      <ns0:c r="S25" s="201"/>
    </ns0:row>
    <ns0:row r="26" ht="24" customHeight="1">
      <ns0:c r="A26" s="191" t="str">
        <ns0:v>2026-01-24</ns0:v>
      </ns0:c>
      <ns0:c r="B26" s="191" t="str">
        <ns0:v>2026-01</ns0:v>
      </ns0:c>
      <ns0:c r="C26" s="191" t="str">
        <ns0:v>六</ns0:v>
      </ns0:c>
      <ns0:c r="D26" s="191" t="str">
        <ns0:v>休息日或假期</ns0:v>
      </ns0:c>
      <ns0:c r="E26" s="191" t="str">
        <ns0:v>09:54</ns0:v>
      </ns0:c>
      <ns0:c r="F26" s="191" t="str">
        <ns0:v>21:28</ns0:v>
      </ns0:c>
      <ns0:c r="G26" s="214" t="n">
        <ns0:v>0</ns0:v>
      </ns0:c>
      <ns0:c r="H26" s="214" t="n">
        <ns0:v>634</ns0:v>
      </ns0:c>
      <ns0:c r="I26" s="192" t="n">
        <ns0:f>G26/60*'核算总览'!$B$3/(21.75*8)*1.5</ns0:f>
        <ns0:v>0</ns0:v>
      </ns0:c>
      <ns0:c r="J26" s="192"/>
      <ns0:c r="K26" s="192"/>
      <ns0:c r="L26" s="192"/>
      <ns0:c r="M26" s="191" t="str"/>
      <ns0:c r="N26" s="191" t="str">
        <ns0:v>/Users/a./Desktop/飞书考勤留存_2026-10-27/逐日原始打卡截图与汇总_2026-10-27/原始截图/2026-01-24_01_日历与上部.jpg</ns0:v>
      </ns0:c>
      <ns0:c r="O26" s="191" t="str">
        <ns0:v>/Users/a./Desktop/飞书考勤留存_2026-10-27/逐日原始打卡截图与汇总_2026-10-27/原始截图/2026-01-24_02_明细下部.jpg</ns0:v>
      </ns0:c>
      <ns0:c r="P26" s="215"/>
      <ns0:c r="Q26" s="230"/>
      <ns0:c r="R26" s="201"/>
      <ns0:c r="S26" s="201"/>
    </ns0:row>
    <ns0:row r="27" ht="24" customHeight="1">
      <ns0:c r="A27" s="191" t="str">
        <ns0:v>2026-01-26</ns0:v>
      </ns0:c>
      <ns0:c r="B27" s="191" t="str">
        <ns0:v>2026-01</ns0:v>
      </ns0:c>
      <ns0:c r="C27" s="191" t="str">
        <ns0:v>一</ns0:v>
      </ns0:c>
      <ns0:c r="D27" s="191" t="str">
        <ns0:v>工作日（含法定调班日）</ns0:v>
      </ns0:c>
      <ns0:c r="E27" s="191" t="str">
        <ns0:v>10:00</ns0:v>
      </ns0:c>
      <ns0:c r="F27" s="191" t="str">
        <ns0:v>19:17</ns0:v>
      </ns0:c>
      <ns0:c r="G27" s="214" t="n">
        <ns0:v>17</ns0:v>
      </ns0:c>
      <ns0:c r="H27" s="214" t="n">
        <ns0:v>0</ns0:v>
      </ns0:c>
      <ns0:c r="I27" s="192" t="n">
        <ns0:f>G27/60*'核算总览'!$B$3/(21.75*8)*1.5</ns0:f>
        <ns0:v>59.497994412515965</ns0:v>
      </ns0:c>
      <ns0:c r="J27" s="192"/>
      <ns0:c r="K27" s="192"/>
      <ns0:c r="L27" s="192"/>
      <ns0:c r="M27" s="191" t="str"/>
      <ns0:c r="N27" s="191" t="str">
        <ns0:v>/Users/a./Desktop/飞书考勤留存_2026-10-27/逐日原始打卡截图与汇总_2026-10-27/原始截图/2026-01-26_01_日历与上部.jpg</ns0:v>
      </ns0:c>
      <ns0:c r="O27" s="191" t="str">
        <ns0:v>/Users/a./Desktop/飞书考勤留存_2026-10-27/逐日原始打卡截图与汇总_2026-10-27/原始截图/2026-01-26_02_明细下部.jpg</ns0:v>
      </ns0:c>
      <ns0:c r="P27" s="215"/>
      <ns0:c r="Q27" s="230"/>
      <ns0:c r="R27" s="201"/>
      <ns0:c r="S27" s="201"/>
    </ns0:row>
    <ns0:row r="28" ht="24" customHeight="1">
      <ns0:c r="A28" s="191" t="str">
        <ns0:v>2026-01-27</ns0:v>
      </ns0:c>
      <ns0:c r="B28" s="191" t="str">
        <ns0:v>2026-01</ns0:v>
      </ns0:c>
      <ns0:c r="C28" s="191" t="str">
        <ns0:v>二</ns0:v>
      </ns0:c>
      <ns0:c r="D28" s="191" t="str">
        <ns0:v>工作日（含法定调班日）</ns0:v>
      </ns0:c>
      <ns0:c r="E28" s="191" t="str">
        <ns0:v>09:53</ns0:v>
      </ns0:c>
      <ns0:c r="F28" s="191" t="str">
        <ns0:v>20:51</ns0:v>
      </ns0:c>
      <ns0:c r="G28" s="214" t="n">
        <ns0:v>118</ns0:v>
      </ns0:c>
      <ns0:c r="H28" s="214" t="n">
        <ns0:v>0</ns0:v>
      </ns0:c>
      <ns0:c r="I28" s="192" t="n">
        <ns0:f>G28/60*'核算总览'!$B$3/(21.75*8)*1.5</ns0:f>
        <ns0:v>412.98607886334605</ns0:v>
      </ns0:c>
      <ns0:c r="J28" s="192"/>
      <ns0:c r="K28" s="192"/>
      <ns0:c r="L28" s="192"/>
      <ns0:c r="M28" s="191" t="str"/>
      <ns0:c r="N28" s="191" t="str">
        <ns0:v>/Users/a./Desktop/飞书考勤留存_2026-10-27/逐日原始打卡截图与汇总_2026-10-27/原始截图/2026-01-27_01_日历与上部.jpg</ns0:v>
      </ns0:c>
      <ns0:c r="O28" s="191" t="str">
        <ns0:v>/Users/a./Desktop/飞书考勤留存_2026-10-27/逐日原始打卡截图与汇总_2026-10-27/原始截图/2026-01-27_02_明细下部.jpg</ns0:v>
      </ns0:c>
      <ns0:c r="P28" s="215"/>
      <ns0:c r="Q28" s="230"/>
      <ns0:c r="R28" s="201"/>
      <ns0:c r="S28" s="201"/>
    </ns0:row>
    <ns0:row r="29" ht="24" customHeight="1">
      <ns0:c r="A29" s="191" t="str">
        <ns0:v>2026-01-28</ns0:v>
      </ns0:c>
      <ns0:c r="B29" s="191" t="str">
        <ns0:v>2026-01</ns0:v>
      </ns0:c>
      <ns0:c r="C29" s="191" t="str">
        <ns0:v>三</ns0:v>
      </ns0:c>
      <ns0:c r="D29" s="191" t="str">
        <ns0:v>工作日（含法定调班日）</ns0:v>
      </ns0:c>
      <ns0:c r="E29" s="191" t="str">
        <ns0:v>09:56</ns0:v>
      </ns0:c>
      <ns0:c r="F29" s="191" t="str">
        <ns0:v>20:12</ns0:v>
      </ns0:c>
      <ns0:c r="G29" s="214" t="n">
        <ns0:v>76</ns0:v>
      </ns0:c>
      <ns0:c r="H29" s="214" t="n">
        <ns0:v>0</ns0:v>
      </ns0:c>
      <ns0:c r="I29" s="192" t="n">
        <ns0:f>G29/60*'核算总览'!$B$3/(21.75*8)*1.5</ns0:f>
        <ns0:v>265.991033844189</ns0:v>
      </ns0:c>
      <ns0:c r="J29" s="192"/>
      <ns0:c r="K29" s="192"/>
      <ns0:c r="L29" s="192"/>
      <ns0:c r="M29" s="191" t="str"/>
      <ns0:c r="N29" s="191" t="str">
        <ns0:v>/Users/a./Desktop/飞书考勤留存_2026-10-27/逐日原始打卡截图与汇总_2026-10-27/原始截图/2026-01-28_01_日历与上部.jpg</ns0:v>
      </ns0:c>
      <ns0:c r="O29" s="191" t="str">
        <ns0:v>/Users/a./Desktop/飞书考勤留存_2026-10-27/逐日原始打卡截图与汇总_2026-10-27/原始截图/2026-01-28_02_明细下部.jpg</ns0:v>
      </ns0:c>
      <ns0:c r="P29" s="215"/>
      <ns0:c r="Q29" s="230"/>
      <ns0:c r="R29" s="201"/>
      <ns0:c r="S29" s="201"/>
    </ns0:row>
    <ns0:row r="30" ht="24" customHeight="1">
      <ns0:c r="A30" s="191" t="str">
        <ns0:v>2026-01-29</ns0:v>
      </ns0:c>
      <ns0:c r="B30" s="191" t="str">
        <ns0:v>2026-01</ns0:v>
      </ns0:c>
      <ns0:c r="C30" s="191" t="str">
        <ns0:v>四</ns0:v>
      </ns0:c>
      <ns0:c r="D30" s="191" t="str">
        <ns0:v>工作日（含法定调班日）</ns0:v>
      </ns0:c>
      <ns0:c r="E30" s="191" t="str">
        <ns0:v>09:57</ns0:v>
      </ns0:c>
      <ns0:c r="F30" s="191" t="str">
        <ns0:v>19:04</ns0:v>
      </ns0:c>
      <ns0:c r="G30" s="214" t="n">
        <ns0:v>7</ns0:v>
      </ns0:c>
      <ns0:c r="H30" s="214" t="n">
        <ns0:v>0</ns0:v>
      </ns0:c>
      <ns0:c r="I30" s="192" t="n">
        <ns0:f>G30/60*'核算总览'!$B$3/(21.75*8)*1.5</ns0:f>
        <ns0:v>24.499174169859515</ns0:v>
      </ns0:c>
      <ns0:c r="J30" s="192"/>
      <ns0:c r="K30" s="192"/>
      <ns0:c r="L30" s="192"/>
      <ns0:c r="M30" s="191" t="str"/>
      <ns0:c r="N30" s="191" t="str">
        <ns0:v>/Users/a./Desktop/飞书考勤留存_2026-10-27/逐日原始打卡截图与汇总_2026-10-27/原始截图/2026-01-29_01_日历与上部.jpg</ns0:v>
      </ns0:c>
      <ns0:c r="O30" s="191" t="str">
        <ns0:v>/Users/a./Desktop/飞书考勤留存_2026-10-27/逐日原始打卡截图与汇总_2026-10-27/原始截图/2026-01-29_02_明细下部.jpg</ns0:v>
      </ns0:c>
      <ns0:c r="P30" s="215"/>
      <ns0:c r="Q30" s="230"/>
      <ns0:c r="R30" s="201"/>
      <ns0:c r="S30" s="201"/>
    </ns0:row>
    <ns0:row r="31" ht="24" customHeight="1">
      <ns0:c r="A31" s="191" t="str">
        <ns0:v>2026-01-30</ns0:v>
      </ns0:c>
      <ns0:c r="B31" s="191" t="str">
        <ns0:v>2026-01</ns0:v>
      </ns0:c>
      <ns0:c r="C31" s="191" t="str">
        <ns0:v>五</ns0:v>
      </ns0:c>
      <ns0:c r="D31" s="191" t="str">
        <ns0:v>工作日（含法定调班日）</ns0:v>
      </ns0:c>
      <ns0:c r="E31" s="191" t="str">
        <ns0:v>10:00</ns0:v>
      </ns0:c>
      <ns0:c r="F31" s="191" t="str">
        <ns0:v>19:21</ns0:v>
      </ns0:c>
      <ns0:c r="G31" s="214" t="n">
        <ns0:v>21</ns0:v>
      </ns0:c>
      <ns0:c r="H31" s="214" t="n">
        <ns0:v>0</ns0:v>
      </ns0:c>
      <ns0:c r="I31" s="192" t="n">
        <ns0:f>G31/60*'核算总览'!$B$3/(21.75*8)*1.5</ns0:f>
        <ns0:v>73.49752250957853</ns0:v>
      </ns0:c>
      <ns0:c r="J31" s="192"/>
      <ns0:c r="K31" s="192"/>
      <ns0:c r="L31" s="192"/>
      <ns0:c r="M31" s="191" t="str"/>
      <ns0:c r="N31" s="191" t="str">
        <ns0:v>/Users/a./Desktop/飞书考勤留存_2026-10-27/逐日原始打卡截图与汇总_2026-10-27/原始截图/2026-01-30_01_日历与上部.jpg</ns0:v>
      </ns0:c>
      <ns0:c r="O31" s="191" t="str">
        <ns0:v>/Users/a./Desktop/飞书考勤留存_2026-10-27/逐日原始打卡截图与汇总_2026-10-27/原始截图/2026-01-30_02_明细下部.jpg</ns0:v>
      </ns0:c>
      <ns0:c r="P31" s="215"/>
      <ns0:c r="Q31" s="230"/>
      <ns0:c r="R31" s="201"/>
      <ns0:c r="S31" s="201"/>
    </ns0:row>
    <ns0:row r="32" ht="24" customHeight="1">
      <ns0:c r="A32" s="191" t="str">
        <ns0:v>2026-02-02</ns0:v>
      </ns0:c>
      <ns0:c r="B32" s="191" t="str">
        <ns0:v>2026-02</ns0:v>
      </ns0:c>
      <ns0:c r="C32" s="191" t="str">
        <ns0:v>一</ns0:v>
      </ns0:c>
      <ns0:c r="D32" s="191" t="str">
        <ns0:v>工作日（含法定调班日）</ns0:v>
      </ns0:c>
      <ns0:c r="E32" s="191" t="str">
        <ns0:v>10:00</ns0:v>
      </ns0:c>
      <ns0:c r="F32" s="191" t="str">
        <ns0:v>19:24</ns0:v>
      </ns0:c>
      <ns0:c r="G32" s="214" t="n">
        <ns0:v>24</ns0:v>
      </ns0:c>
      <ns0:c r="H32" s="214" t="n">
        <ns0:v>0</ns0:v>
      </ns0:c>
      <ns0:c r="I32" s="192" t="n">
        <ns0:f>G32/60*'核算总览'!$B$3/(21.75*8)*1.5</ns0:f>
        <ns0:v>83.99716858237547</ns0:v>
      </ns0:c>
      <ns0:c r="J32" s="192"/>
      <ns0:c r="K32" s="192"/>
      <ns0:c r="L32" s="192"/>
      <ns0:c r="M32" s="191" t="str"/>
      <ns0:c r="N32" s="191" t="str">
        <ns0:v>/Users/a./Desktop/飞书考勤留存_2026-10-27/逐日原始打卡截图与汇总_2026-10-27/原始截图/2026-02-02_01_日历与上部.jpg</ns0:v>
      </ns0:c>
      <ns0:c r="O32" s="191" t="str">
        <ns0:v>/Users/a./Desktop/飞书考勤留存_2026-10-27/逐日原始打卡截图与汇总_2026-10-27/原始截图/2026-02-02_02_明细下部.jpg</ns0:v>
      </ns0:c>
      <ns0:c r="P32" s="215"/>
      <ns0:c r="Q32" s="230"/>
      <ns0:c r="R32" s="201"/>
      <ns0:c r="S32" s="201"/>
    </ns0:row>
    <ns0:row r="33" ht="24" customHeight="1">
      <ns0:c r="A33" s="191" t="str">
        <ns0:v>2026-02-03</ns0:v>
      </ns0:c>
      <ns0:c r="B33" s="191" t="str">
        <ns0:v>2026-02</ns0:v>
      </ns0:c>
      <ns0:c r="C33" s="191" t="str">
        <ns0:v>二</ns0:v>
      </ns0:c>
      <ns0:c r="D33" s="191" t="str">
        <ns0:v>工作日（含法定调班日）</ns0:v>
      </ns0:c>
      <ns0:c r="E33" s="191" t="str">
        <ns0:v>09:57</ns0:v>
      </ns0:c>
      <ns0:c r="F33" s="191" t="str">
        <ns0:v>21:39</ns0:v>
      </ns0:c>
      <ns0:c r="G33" s="214" t="n">
        <ns0:v>162</ns0:v>
      </ns0:c>
      <ns0:c r="H33" s="214" t="n">
        <ns0:v>0</ns0:v>
      </ns0:c>
      <ns0:c r="I33" s="192" t="n">
        <ns0:f>G33/60*'核算总览'!$B$3/(21.75*8)*1.5</ns0:f>
        <ns0:v>566.9808879310344</ns0:v>
      </ns0:c>
      <ns0:c r="J33" s="192"/>
      <ns0:c r="K33" s="192"/>
      <ns0:c r="L33" s="192"/>
      <ns0:c r="M33" s="191" t="str"/>
      <ns0:c r="N33" s="191" t="str">
        <ns0:v>/Users/a./Desktop/飞书考勤留存_2026-10-27/逐日原始打卡截图与汇总_2026-10-27/原始截图/2026-02-03_01_日历与上部.jpg</ns0:v>
      </ns0:c>
      <ns0:c r="O33" s="191" t="str">
        <ns0:v>/Users/a./Desktop/飞书考勤留存_2026-10-27/逐日原始打卡截图与汇总_2026-10-27/原始截图/2026-02-03_02_明细下部.jpg</ns0:v>
      </ns0:c>
      <ns0:c r="P33" s="215"/>
      <ns0:c r="Q33" s="230"/>
      <ns0:c r="R33" s="201"/>
      <ns0:c r="S33" s="201"/>
    </ns0:row>
    <ns0:row r="34" ht="24" customHeight="1">
      <ns0:c r="A34" s="191" t="str">
        <ns0:v>2026-02-04</ns0:v>
      </ns0:c>
      <ns0:c r="B34" s="191" t="str">
        <ns0:v>2026-02</ns0:v>
      </ns0:c>
      <ns0:c r="C34" s="191" t="str">
        <ns0:v>三</ns0:v>
      </ns0:c>
      <ns0:c r="D34" s="191" t="str">
        <ns0:v>工作日（含法定调班日）</ns0:v>
      </ns0:c>
      <ns0:c r="E34" s="191" t="str">
        <ns0:v>09:45</ns0:v>
      </ns0:c>
      <ns0:c r="F34" s="191" t="str">
        <ns0:v>19:34</ns0:v>
      </ns0:c>
      <ns0:c r="G34" s="214" t="n">
        <ns0:v>49</ns0:v>
      </ns0:c>
      <ns0:c r="H34" s="214" t="n">
        <ns0:v>0</ns0:v>
      </ns0:c>
      <ns0:c r="I34" s="192" t="n">
        <ns0:f>G34/60*'核算总览'!$B$3/(21.75*8)*1.5</ns0:f>
        <ns0:v>171.49421918901658</ns0:v>
      </ns0:c>
      <ns0:c r="J34" s="192"/>
      <ns0:c r="K34" s="192"/>
      <ns0:c r="L34" s="192"/>
      <ns0:c r="M34" s="191" t="str"/>
      <ns0:c r="N34" s="191" t="str">
        <ns0:v>/Users/a./Desktop/飞书考勤留存_2026-10-27/逐日原始打卡截图与汇总_2026-10-27/原始截图/2026-02-04_01_日历与上部.jpg</ns0:v>
      </ns0:c>
      <ns0:c r="O34" s="191" t="str">
        <ns0:v>/Users/a./Desktop/飞书考勤留存_2026-10-27/逐日原始打卡截图与汇总_2026-10-27/原始截图/2026-02-04_02_明细下部.jpg</ns0:v>
      </ns0:c>
      <ns0:c r="P34" s="215"/>
      <ns0:c r="Q34" s="230"/>
      <ns0:c r="R34" s="201"/>
      <ns0:c r="S34" s="201"/>
    </ns0:row>
    <ns0:row r="35" ht="24" customHeight="1">
      <ns0:c r="A35" s="191" t="str">
        <ns0:v>2026-02-05</ns0:v>
      </ns0:c>
      <ns0:c r="B35" s="191" t="str">
        <ns0:v>2026-02</ns0:v>
      </ns0:c>
      <ns0:c r="C35" s="191" t="str">
        <ns0:v>四</ns0:v>
      </ns0:c>
      <ns0:c r="D35" s="191" t="str">
        <ns0:v>工作日（含法定调班日）</ns0:v>
      </ns0:c>
      <ns0:c r="E35" s="191" t="str">
        <ns0:v>09:54</ns0:v>
      </ns0:c>
      <ns0:c r="F35" s="191" t="str">
        <ns0:v>19:18</ns0:v>
      </ns0:c>
      <ns0:c r="G35" s="214" t="n">
        <ns0:v>24</ns0:v>
      </ns0:c>
      <ns0:c r="H35" s="214" t="n">
        <ns0:v>0</ns0:v>
      </ns0:c>
      <ns0:c r="I35" s="192" t="n">
        <ns0:f>G35/60*'核算总览'!$B$3/(21.75*8)*1.5</ns0:f>
        <ns0:v>83.99716858237547</ns0:v>
      </ns0:c>
      <ns0:c r="J35" s="192"/>
      <ns0:c r="K35" s="192"/>
      <ns0:c r="L35" s="192"/>
      <ns0:c r="M35" s="191" t="str"/>
      <ns0:c r="N35" s="191" t="str">
        <ns0:v>/Users/a./Desktop/飞书考勤留存_2026-10-27/逐日原始打卡截图与汇总_2026-10-27/原始截图/2026-02-05_01_日历与上部.jpg</ns0:v>
      </ns0:c>
      <ns0:c r="O35" s="191" t="str">
        <ns0:v>/Users/a./Desktop/飞书考勤留存_2026-10-27/逐日原始打卡截图与汇总_2026-10-27/原始截图/2026-02-05_02_明细下部.jpg</ns0:v>
      </ns0:c>
      <ns0:c r="P35" s="215"/>
      <ns0:c r="Q35" s="230"/>
      <ns0:c r="R35" s="201"/>
      <ns0:c r="S35" s="201"/>
    </ns0:row>
    <ns0:row r="36" ht="24" customHeight="1">
      <ns0:c r="A36" s="191" t="str">
        <ns0:v>2026-02-07</ns0:v>
      </ns0:c>
      <ns0:c r="B36" s="191" t="str">
        <ns0:v>2026-02</ns0:v>
      </ns0:c>
      <ns0:c r="C36" s="191" t="str">
        <ns0:v>六</ns0:v>
      </ns0:c>
      <ns0:c r="D36" s="191" t="str">
        <ns0:v>休息日或假期</ns0:v>
      </ns0:c>
      <ns0:c r="E36" s="191" t="str">
        <ns0:v>09:48</ns0:v>
      </ns0:c>
      <ns0:c r="F36" s="191" t="str">
        <ns0:v>22:37</ns0:v>
      </ns0:c>
      <ns0:c r="G36" s="214" t="n">
        <ns0:v>0</ns0:v>
      </ns0:c>
      <ns0:c r="H36" s="214" t="n">
        <ns0:v>709</ns0:v>
      </ns0:c>
      <ns0:c r="I36" s="192" t="n">
        <ns0:f>G36/60*'核算总览'!$B$3/(21.75*8)*1.5</ns0:f>
        <ns0:v>0</ns0:v>
      </ns0:c>
      <ns0:c r="J36" s="192"/>
      <ns0:c r="K36" s="192"/>
      <ns0:c r="L36" s="192"/>
      <ns0:c r="M36" s="191" t="str"/>
      <ns0:c r="N36" s="191" t="str">
        <ns0:v>/Users/a./Desktop/飞书考勤留存_2026-10-27/逐日原始打卡截图与汇总_2026-10-27/原始截图/2026-02-07_01_日历与上部.jpg</ns0:v>
      </ns0:c>
      <ns0:c r="O36" s="191" t="str">
        <ns0:v>/Users/a./Desktop/飞书考勤留存_2026-10-27/逐日原始打卡截图与汇总_2026-10-27/原始截图/2026-02-07_02_明细下部.jpg</ns0:v>
      </ns0:c>
      <ns0:c r="P36" s="215"/>
      <ns0:c r="Q36" s="230"/>
      <ns0:c r="R36" s="201"/>
      <ns0:c r="S36" s="201"/>
    </ns0:row>
    <ns0:row r="37" ht="24" customHeight="1">
      <ns0:c r="A37" s="191" t="str">
        <ns0:v>2026-02-08</ns0:v>
      </ns0:c>
      <ns0:c r="B37" s="191" t="str">
        <ns0:v>2026-02</ns0:v>
      </ns0:c>
      <ns0:c r="C37" s="191" t="str">
        <ns0:v>日</ns0:v>
      </ns0:c>
      <ns0:c r="D37" s="191" t="str">
        <ns0:v>休息日或假期</ns0:v>
      </ns0:c>
      <ns0:c r="E37" s="191" t="str">
        <ns0:v>09:56</ns0:v>
      </ns0:c>
      <ns0:c r="F37" s="191" t="str">
        <ns0:v>19:13</ns0:v>
      </ns0:c>
      <ns0:c r="G37" s="214" t="n">
        <ns0:v>0</ns0:v>
      </ns0:c>
      <ns0:c r="H37" s="214" t="n">
        <ns0:v>497</ns0:v>
      </ns0:c>
      <ns0:c r="I37" s="192" t="n">
        <ns0:f>G37/60*'核算总览'!$B$3/(21.75*8)*1.5</ns0:f>
        <ns0:v>0</ns0:v>
      </ns0:c>
      <ns0:c r="J37" s="192"/>
      <ns0:c r="K37" s="192"/>
      <ns0:c r="L37" s="192"/>
      <ns0:c r="M37" s="191" t="str"/>
      <ns0:c r="N37" s="191" t="str">
        <ns0:v>/Users/a./Desktop/飞书考勤留存_2026-10-27/逐日原始打卡截图与汇总_2026-10-27/原始截图/2026-02-08_01_日历与上部.jpg</ns0:v>
      </ns0:c>
      <ns0:c r="O37" s="191" t="str">
        <ns0:v>/Users/a./Desktop/飞书考勤留存_2026-10-27/逐日原始打卡截图与汇总_2026-10-27/原始截图/2026-02-08_02_明细下部.jpg</ns0:v>
      </ns0:c>
      <ns0:c r="P37" s="215"/>
      <ns0:c r="Q37" s="230"/>
      <ns0:c r="R37" s="201"/>
      <ns0:c r="S37" s="201"/>
    </ns0:row>
    <ns0:row r="38" ht="24" customHeight="1">
      <ns0:c r="A38" s="191" t="str">
        <ns0:v>2026-02-09</ns0:v>
      </ns0:c>
      <ns0:c r="B38" s="191" t="str">
        <ns0:v>2026-02</ns0:v>
      </ns0:c>
      <ns0:c r="C38" s="191" t="str">
        <ns0:v>一</ns0:v>
      </ns0:c>
      <ns0:c r="D38" s="191" t="str">
        <ns0:v>工作日（含法定调班日）</ns0:v>
      </ns0:c>
      <ns0:c r="E38" s="191" t="str">
        <ns0:v>09:54</ns0:v>
      </ns0:c>
      <ns0:c r="F38" s="191" t="str">
        <ns0:v>20:14</ns0:v>
      </ns0:c>
      <ns0:c r="G38" s="214" t="n">
        <ns0:v>80</ns0:v>
      </ns0:c>
      <ns0:c r="H38" s="214" t="n">
        <ns0:v>0</ns0:v>
      </ns0:c>
      <ns0:c r="I38" s="192" t="n">
        <ns0:f>G38/60*'核算总览'!$B$3/(21.75*8)*1.5</ns0:f>
        <ns0:v>279.9905619412516</ns0:v>
      </ns0:c>
      <ns0:c r="J38" s="192"/>
      <ns0:c r="K38" s="192"/>
      <ns0:c r="L38" s="192"/>
      <ns0:c r="M38" s="191" t="str"/>
      <ns0:c r="N38" s="191" t="str">
        <ns0:v>/Users/a./Desktop/飞书考勤留存_2026-10-27/逐日原始打卡截图与汇总_2026-10-27/原始截图/2026-02-09_01_日历与上部.jpg</ns0:v>
      </ns0:c>
      <ns0:c r="O38" s="191" t="str">
        <ns0:v>/Users/a./Desktop/飞书考勤留存_2026-10-27/逐日原始打卡截图与汇总_2026-10-27/原始截图/2026-02-09_02_明细下部.jpg</ns0:v>
      </ns0:c>
      <ns0:c r="P38" s="215"/>
      <ns0:c r="Q38" s="230"/>
      <ns0:c r="R38" s="201"/>
      <ns0:c r="S38" s="201"/>
    </ns0:row>
    <ns0:row r="39" ht="24" customHeight="1">
      <ns0:c r="A39" s="191" t="str">
        <ns0:v>2026-02-10</ns0:v>
      </ns0:c>
      <ns0:c r="B39" s="191" t="str">
        <ns0:v>2026-02</ns0:v>
      </ns0:c>
      <ns0:c r="C39" s="191" t="str">
        <ns0:v>二</ns0:v>
      </ns0:c>
      <ns0:c r="D39" s="191" t="str">
        <ns0:v>工作日（含法定调班日）</ns0:v>
      </ns0:c>
      <ns0:c r="E39" s="191" t="str">
        <ns0:v>09:52</ns0:v>
      </ns0:c>
      <ns0:c r="F39" s="191" t="str">
        <ns0:v>19:11</ns0:v>
      </ns0:c>
      <ns0:c r="G39" s="214" t="n">
        <ns0:v>19</ns0:v>
      </ns0:c>
      <ns0:c r="H39" s="214" t="n">
        <ns0:v>0</ns0:v>
      </ns0:c>
      <ns0:c r="I39" s="192" t="n">
        <ns0:f>G39/60*'核算总览'!$B$3/(21.75*8)*1.5</ns0:f>
        <ns0:v>66.49775846104725</ns0:v>
      </ns0:c>
      <ns0:c r="J39" s="192"/>
      <ns0:c r="K39" s="192"/>
      <ns0:c r="L39" s="192"/>
      <ns0:c r="M39" s="191" t="str"/>
      <ns0:c r="N39" s="191" t="str">
        <ns0:v>/Users/a./Desktop/飞书考勤留存_2026-10-27/逐日原始打卡截图与汇总_2026-10-27/原始截图/2026-02-10_01_日历与上部.jpg</ns0:v>
      </ns0:c>
      <ns0:c r="O39" s="191" t="str">
        <ns0:v>/Users/a./Desktop/飞书考勤留存_2026-10-27/逐日原始打卡截图与汇总_2026-10-27/原始截图/2026-02-10_02_明细下部.jpg</ns0:v>
      </ns0:c>
      <ns0:c r="P39" s="215"/>
      <ns0:c r="Q39" s="230"/>
      <ns0:c r="R39" s="201"/>
      <ns0:c r="S39" s="201"/>
    </ns0:row>
    <ns0:row r="40" ht="24" customHeight="1">
      <ns0:c r="A40" s="191" t="str">
        <ns0:v>2026-02-11</ns0:v>
      </ns0:c>
      <ns0:c r="B40" s="191" t="str">
        <ns0:v>2026-02</ns0:v>
      </ns0:c>
      <ns0:c r="C40" s="191" t="str">
        <ns0:v>三</ns0:v>
      </ns0:c>
      <ns0:c r="D40" s="191" t="str">
        <ns0:v>工作日（含法定调班日）</ns0:v>
      </ns0:c>
      <ns0:c r="E40" s="191" t="str">
        <ns0:v>09:48</ns0:v>
      </ns0:c>
      <ns0:c r="F40" s="191" t="str">
        <ns0:v>20:04</ns0:v>
      </ns0:c>
      <ns0:c r="G40" s="214" t="n">
        <ns0:v>76</ns0:v>
      </ns0:c>
      <ns0:c r="H40" s="214" t="n">
        <ns0:v>0</ns0:v>
      </ns0:c>
      <ns0:c r="I40" s="192" t="n">
        <ns0:f>G40/60*'核算总览'!$B$3/(21.75*8)*1.5</ns0:f>
        <ns0:v>265.991033844189</ns0:v>
      </ns0:c>
      <ns0:c r="J40" s="192"/>
      <ns0:c r="K40" s="192"/>
      <ns0:c r="L40" s="192"/>
      <ns0:c r="M40" s="191" t="str"/>
      <ns0:c r="N40" s="191" t="str">
        <ns0:v>/Users/a./Desktop/飞书考勤留存_2026-10-27/逐日原始打卡截图与汇总_2026-10-27/原始截图/2026-02-11_01_日历与上部.jpg</ns0:v>
      </ns0:c>
      <ns0:c r="O40" s="191" t="str">
        <ns0:v>/Users/a./Desktop/飞书考勤留存_2026-10-27/逐日原始打卡截图与汇总_2026-10-27/原始截图/2026-02-11_02_明细下部.jpg</ns0:v>
      </ns0:c>
      <ns0:c r="P40" s="215"/>
      <ns0:c r="Q40" s="230"/>
      <ns0:c r="R40" s="201"/>
      <ns0:c r="S40" s="201"/>
    </ns0:row>
    <ns0:row r="41" ht="24" customHeight="1">
      <ns0:c r="A41" s="191" t="str">
        <ns0:v>2026-02-13</ns0:v>
      </ns0:c>
      <ns0:c r="B41" s="191" t="str">
        <ns0:v>2026-02</ns0:v>
      </ns0:c>
      <ns0:c r="C41" s="191" t="str">
        <ns0:v>五</ns0:v>
      </ns0:c>
      <ns0:c r="D41" s="191" t="str">
        <ns0:v>工作日（含法定调班日）</ns0:v>
      </ns0:c>
      <ns0:c r="E41" s="191" t="str">
        <ns0:v>09:57</ns0:v>
      </ns0:c>
      <ns0:c r="F41" s="191" t="str">
        <ns0:v>20:00</ns0:v>
      </ns0:c>
      <ns0:c r="G41" s="214" t="n">
        <ns0:v>63</ns0:v>
      </ns0:c>
      <ns0:c r="H41" s="214" t="n">
        <ns0:v>0</ns0:v>
      </ns0:c>
      <ns0:c r="I41" s="192" t="n">
        <ns0:f>G41/60*'核算总览'!$B$3/(21.75*8)*1.5</ns0:f>
        <ns0:v>220.49256752873563</ns0:v>
      </ns0:c>
      <ns0:c r="J41" s="192"/>
      <ns0:c r="K41" s="192"/>
      <ns0:c r="L41" s="192"/>
      <ns0:c r="M41" s="191" t="str"/>
      <ns0:c r="N41" s="191" t="str">
        <ns0:v>/Users/a./Desktop/飞书考勤留存_2026-10-27/逐日原始打卡截图与汇总_2026-10-27/原始截图/2026-02-13_01_日历与上部.jpg</ns0:v>
      </ns0:c>
      <ns0:c r="O41" s="191" t="str">
        <ns0:v>/Users/a./Desktop/飞书考勤留存_2026-10-27/逐日原始打卡截图与汇总_2026-10-27/原始截图/2026-02-13_02_明细下部.jpg</ns0:v>
      </ns0:c>
      <ns0:c r="P41" s="215"/>
      <ns0:c r="Q41" s="230"/>
      <ns0:c r="R41" s="201"/>
      <ns0:c r="S41" s="201"/>
    </ns0:row>
    <ns0:row r="42" ht="24" customHeight="1">
      <ns0:c r="A42" s="191" t="str">
        <ns0:v>2026-02-14</ns0:v>
      </ns0:c>
      <ns0:c r="B42" s="191" t="str">
        <ns0:v>2026-02</ns0:v>
      </ns0:c>
      <ns0:c r="C42" s="191" t="str">
        <ns0:v>六</ns0:v>
      </ns0:c>
      <ns0:c r="D42" s="191" t="str">
        <ns0:v>工作日（含法定调班日）</ns0:v>
      </ns0:c>
      <ns0:c r="E42" s="191" t="str">
        <ns0:v>09:50</ns0:v>
      </ns0:c>
      <ns0:c r="F42" s="191" t="str">
        <ns0:v>19:01</ns0:v>
      </ns0:c>
      <ns0:c r="G42" s="214" t="n">
        <ns0:v>11</ns0:v>
      </ns0:c>
      <ns0:c r="H42" s="214" t="n">
        <ns0:v>0</ns0:v>
      </ns0:c>
      <ns0:c r="I42" s="192" t="n">
        <ns0:f>G42/60*'核算总览'!$B$3/(21.75*8)*1.5</ns0:f>
        <ns0:v>38.49870226692209</ns0:v>
      </ns0:c>
      <ns0:c r="J42" s="192"/>
      <ns0:c r="K42" s="192"/>
      <ns0:c r="L42" s="192"/>
      <ns0:c r="M42" s="191" t="str"/>
      <ns0:c r="N42" s="191" t="str">
        <ns0:v>/Users/a./Desktop/飞书考勤留存_2026-10-27/逐日原始打卡截图与汇总_2026-10-27/原始截图/2026-02-14_01_日历与上部.jpg</ns0:v>
      </ns0:c>
      <ns0:c r="O42" s="191" t="str">
        <ns0:v>/Users/a./Desktop/飞书考勤留存_2026-10-27/逐日原始打卡截图与汇总_2026-10-27/原始截图/2026-02-14_02_明细下部.jpg</ns0:v>
      </ns0:c>
      <ns0:c r="P42" s="215"/>
      <ns0:c r="Q42" s="230"/>
      <ns0:c r="R42" s="201"/>
      <ns0:c r="S42" s="201"/>
    </ns0:row>
    <ns0:row r="43" ht="24" customHeight="1">
      <ns0:c r="A43" s="191" t="str">
        <ns0:v>2026-02-24</ns0:v>
      </ns0:c>
      <ns0:c r="B43" s="191" t="str">
        <ns0:v>2026-02</ns0:v>
      </ns0:c>
      <ns0:c r="C43" s="191" t="str">
        <ns0:v>二</ns0:v>
      </ns0:c>
      <ns0:c r="D43" s="191" t="str">
        <ns0:v>工作日（含法定调班日）</ns0:v>
      </ns0:c>
      <ns0:c r="E43" s="191" t="str">
        <ns0:v>09:48</ns0:v>
      </ns0:c>
      <ns0:c r="F43" s="191" t="str">
        <ns0:v>20:12</ns0:v>
      </ns0:c>
      <ns0:c r="G43" s="214" t="n">
        <ns0:v>84</ns0:v>
      </ns0:c>
      <ns0:c r="H43" s="214" t="n">
        <ns0:v>0</ns0:v>
      </ns0:c>
      <ns0:c r="I43" s="192" t="n">
        <ns0:f>G43/60*'核算总览'!$B$3/(21.75*8)*1.5</ns0:f>
        <ns0:v>293.9900900383141</ns0:v>
      </ns0:c>
      <ns0:c r="J43" s="192"/>
      <ns0:c r="K43" s="192"/>
      <ns0:c r="L43" s="192"/>
      <ns0:c r="M43" s="191" t="str"/>
      <ns0:c r="N43" s="191" t="str">
        <ns0:v>/Users/a./Desktop/飞书考勤留存_2026-10-27/逐日原始打卡截图与汇总_2026-10-27/原始截图/2026-02-24_01_日历与上部.jpg</ns0:v>
      </ns0:c>
      <ns0:c r="O43" s="191" t="str">
        <ns0:v>/Users/a./Desktop/飞书考勤留存_2026-10-27/逐日原始打卡截图与汇总_2026-10-27/原始截图/2026-02-24_02_明细下部.jpg</ns0:v>
      </ns0:c>
      <ns0:c r="P43" s="215"/>
      <ns0:c r="Q43" s="230"/>
      <ns0:c r="R43" s="201"/>
      <ns0:c r="S43" s="201"/>
    </ns0:row>
    <ns0:row r="44" ht="24" customHeight="1">
      <ns0:c r="A44" s="191" t="str">
        <ns0:v>2026-02-25</ns0:v>
      </ns0:c>
      <ns0:c r="B44" s="191" t="str">
        <ns0:v>2026-02</ns0:v>
      </ns0:c>
      <ns0:c r="C44" s="191" t="str">
        <ns0:v>三</ns0:v>
      </ns0:c>
      <ns0:c r="D44" s="191" t="str">
        <ns0:v>工作日（含法定调班日）</ns0:v>
      </ns0:c>
      <ns0:c r="E44" s="191" t="str">
        <ns0:v>09:52</ns0:v>
      </ns0:c>
      <ns0:c r="F44" s="191" t="str">
        <ns0:v>19:42</ns0:v>
      </ns0:c>
      <ns0:c r="G44" s="214" t="n">
        <ns0:v>50</ns0:v>
      </ns0:c>
      <ns0:c r="H44" s="214" t="n">
        <ns0:v>0</ns0:v>
      </ns0:c>
      <ns0:c r="I44" s="192" t="n">
        <ns0:f>G44/60*'核算总览'!$B$3/(21.75*8)*1.5</ns0:f>
        <ns0:v>174.99410121328225</ns0:v>
      </ns0:c>
      <ns0:c r="J44" s="192"/>
      <ns0:c r="K44" s="192"/>
      <ns0:c r="L44" s="192"/>
      <ns0:c r="M44" s="191" t="str"/>
      <ns0:c r="N44" s="191" t="str">
        <ns0:v>/Users/a./Desktop/飞书考勤留存_2026-10-27/逐日原始打卡截图与汇总_2026-10-27/原始截图/2026-02-25_01_日历与上部.jpg</ns0:v>
      </ns0:c>
      <ns0:c r="O44" s="191" t="str">
        <ns0:v>/Users/a./Desktop/飞书考勤留存_2026-10-27/逐日原始打卡截图与汇总_2026-10-27/原始截图/2026-02-25_02_明细下部.jpg</ns0:v>
      </ns0:c>
      <ns0:c r="P44" s="215"/>
      <ns0:c r="Q44" s="230"/>
      <ns0:c r="R44" s="201"/>
      <ns0:c r="S44" s="201"/>
    </ns0:row>
    <ns0:row r="45" ht="24" customHeight="1">
      <ns0:c r="A45" s="191" t="str">
        <ns0:v>2026-02-26</ns0:v>
      </ns0:c>
      <ns0:c r="B45" s="191" t="str">
        <ns0:v>2026-02</ns0:v>
      </ns0:c>
      <ns0:c r="C45" s="191" t="str">
        <ns0:v>四</ns0:v>
      </ns0:c>
      <ns0:c r="D45" s="191" t="str">
        <ns0:v>工作日（含法定调班日）</ns0:v>
      </ns0:c>
      <ns0:c r="E45" s="191" t="str">
        <ns0:v>10:00</ns0:v>
      </ns0:c>
      <ns0:c r="F45" s="191" t="str">
        <ns0:v>20:13</ns0:v>
      </ns0:c>
      <ns0:c r="G45" s="214" t="n">
        <ns0:v>73</ns0:v>
      </ns0:c>
      <ns0:c r="H45" s="214" t="n">
        <ns0:v>0</ns0:v>
      </ns0:c>
      <ns0:c r="I45" s="192" t="n">
        <ns0:f>G45/60*'核算总览'!$B$3/(21.75*8)*1.5</ns0:f>
        <ns0:v>255.49138777139206</ns0:v>
      </ns0:c>
      <ns0:c r="J45" s="192"/>
      <ns0:c r="K45" s="192"/>
      <ns0:c r="L45" s="192"/>
      <ns0:c r="M45" s="191" t="str"/>
      <ns0:c r="N45" s="191" t="str">
        <ns0:v>/Users/a./Desktop/飞书考勤留存_2026-10-27/逐日原始打卡截图与汇总_2026-10-27/原始截图/2026-02-26_01_日历与上部.jpg</ns0:v>
      </ns0:c>
      <ns0:c r="O45" s="191" t="str">
        <ns0:v>/Users/a./Desktop/飞书考勤留存_2026-10-27/逐日原始打卡截图与汇总_2026-10-27/原始截图/2026-02-26_02_明细下部.jpg</ns0:v>
      </ns0:c>
      <ns0:c r="P45" s="215"/>
      <ns0:c r="Q45" s="230"/>
      <ns0:c r="R45" s="201"/>
      <ns0:c r="S45" s="201"/>
    </ns0:row>
    <ns0:row r="46" ht="24" customHeight="1">
      <ns0:c r="A46" s="191" t="str">
        <ns0:v>2026-02-27</ns0:v>
      </ns0:c>
      <ns0:c r="B46" s="191" t="str">
        <ns0:v>2026-02</ns0:v>
      </ns0:c>
      <ns0:c r="C46" s="191" t="str">
        <ns0:v>五</ns0:v>
      </ns0:c>
      <ns0:c r="D46" s="191" t="str">
        <ns0:v>工作日（含法定调班日）</ns0:v>
      </ns0:c>
      <ns0:c r="E46" s="191" t="str">
        <ns0:v>09:56</ns0:v>
      </ns0:c>
      <ns0:c r="F46" s="191" t="str">
        <ns0:v>20:43</ns0:v>
      </ns0:c>
      <ns0:c r="G46" s="214" t="n">
        <ns0:v>107</ns0:v>
      </ns0:c>
      <ns0:c r="H46" s="214" t="n">
        <ns0:v>0</ns0:v>
      </ns0:c>
      <ns0:c r="I46" s="192" t="n">
        <ns0:f>G46/60*'核算总览'!$B$3/(21.75*8)*1.5</ns0:f>
        <ns0:v>374.487376596424</ns0:v>
      </ns0:c>
      <ns0:c r="J46" s="192"/>
      <ns0:c r="K46" s="192"/>
      <ns0:c r="L46" s="192"/>
      <ns0:c r="M46" s="191" t="str"/>
      <ns0:c r="N46" s="191" t="str">
        <ns0:v>/Users/a./Desktop/飞书考勤留存_2026-10-27/逐日原始打卡截图与汇总_2026-10-27/原始截图/2026-02-27_01_日历与上部.jpg</ns0:v>
      </ns0:c>
      <ns0:c r="O46" s="191" t="str">
        <ns0:v>/Users/a./Desktop/飞书考勤留存_2026-10-27/逐日原始打卡截图与汇总_2026-10-27/原始截图/2026-02-27_02_明细下部.jpg</ns0:v>
      </ns0:c>
      <ns0:c r="P46" s="215"/>
      <ns0:c r="Q46" s="230"/>
      <ns0:c r="R46" s="201"/>
      <ns0:c r="S46" s="201"/>
    </ns0:row>
    <ns0:row r="47" ht="24" customHeight="1">
      <ns0:c r="A47" s="191" t="str">
        <ns0:v>2026-02-28</ns0:v>
      </ns0:c>
      <ns0:c r="B47" s="191" t="str">
        <ns0:v>2026-02</ns0:v>
      </ns0:c>
      <ns0:c r="C47" s="191" t="str">
        <ns0:v>六</ns0:v>
      </ns0:c>
      <ns0:c r="D47" s="191" t="str">
        <ns0:v>工作日（含法定调班日）</ns0:v>
      </ns0:c>
      <ns0:c r="E47" s="191" t="str">
        <ns0:v>09:55</ns0:v>
      </ns0:c>
      <ns0:c r="F47" s="191" t="str">
        <ns0:v>20:20</ns0:v>
      </ns0:c>
      <ns0:c r="G47" s="214" t="n">
        <ns0:v>85</ns0:v>
      </ns0:c>
      <ns0:c r="H47" s="214" t="n">
        <ns0:v>0</ns0:v>
      </ns0:c>
      <ns0:c r="I47" s="192" t="n">
        <ns0:f>G47/60*'核算总览'!$B$3/(21.75*8)*1.5</ns0:f>
        <ns0:v>297.48997206257985</ns0:v>
      </ns0:c>
      <ns0:c r="J47" s="192"/>
      <ns0:c r="K47" s="192"/>
      <ns0:c r="L47" s="192"/>
      <ns0:c r="M47" s="191" t="str"/>
      <ns0:c r="N47" s="191" t="str">
        <ns0:v>/Users/a./Desktop/飞书考勤留存_2026-10-27/逐日原始打卡截图与汇总_2026-10-27/原始截图/2026-02-28_01_日历与上部.jpg</ns0:v>
      </ns0:c>
      <ns0:c r="O47" s="191" t="str">
        <ns0:v>/Users/a./Desktop/飞书考勤留存_2026-10-27/逐日原始打卡截图与汇总_2026-10-27/原始截图/2026-02-28_02_明细下部.jpg</ns0:v>
      </ns0:c>
      <ns0:c r="P47" s="215"/>
      <ns0:c r="Q47" s="230"/>
      <ns0:c r="R47" s="201"/>
      <ns0:c r="S47" s="201"/>
    </ns0:row>
    <ns0:row r="48" ht="24" customHeight="1">
      <ns0:c r="A48" s="191" t="str">
        <ns0:v>2026-03-02</ns0:v>
      </ns0:c>
      <ns0:c r="B48" s="191" t="str">
        <ns0:v>2026-03</ns0:v>
      </ns0:c>
      <ns0:c r="C48" s="191" t="str">
        <ns0:v>一</ns0:v>
      </ns0:c>
      <ns0:c r="D48" s="191" t="str">
        <ns0:v>工作日（含法定调班日）</ns0:v>
      </ns0:c>
      <ns0:c r="E48" s="191" t="str">
        <ns0:v>10:00</ns0:v>
      </ns0:c>
      <ns0:c r="F48" s="191" t="str">
        <ns0:v>19:26</ns0:v>
      </ns0:c>
      <ns0:c r="G48" s="214" t="n">
        <ns0:v>26</ns0:v>
      </ns0:c>
      <ns0:c r="H48" s="214" t="n">
        <ns0:v>0</ns0:v>
      </ns0:c>
      <ns0:c r="I48" s="192" t="n">
        <ns0:f>G48/60*'核算总览'!$B$3/(21.75*8)*1.5</ns0:f>
        <ns0:v>90.99693263090677</ns0:v>
      </ns0:c>
      <ns0:c r="J48" s="192"/>
      <ns0:c r="K48" s="192"/>
      <ns0:c r="L48" s="192"/>
      <ns0:c r="M48" s="191" t="str"/>
      <ns0:c r="N48" s="191" t="str">
        <ns0:v>/Users/a./Desktop/飞书考勤留存_2026-10-27/逐日原始打卡截图与汇总_2026-10-27/原始截图/2026-03-02_01_日历与上部.jpg</ns0:v>
      </ns0:c>
      <ns0:c r="O48" s="191" t="str">
        <ns0:v>/Users/a./Desktop/飞书考勤留存_2026-10-27/逐日原始打卡截图与汇总_2026-10-27/原始截图/2026-03-02_02_明细下部.jpg</ns0:v>
      </ns0:c>
      <ns0:c r="P48" s="215"/>
      <ns0:c r="Q48" s="230"/>
      <ns0:c r="R48" s="201"/>
      <ns0:c r="S48" s="201"/>
    </ns0:row>
    <ns0:row r="49" ht="24" customHeight="1">
      <ns0:c r="A49" s="191" t="str">
        <ns0:v>2026-03-03</ns0:v>
      </ns0:c>
      <ns0:c r="B49" s="191" t="str">
        <ns0:v>2026-03</ns0:v>
      </ns0:c>
      <ns0:c r="C49" s="191" t="str">
        <ns0:v>二</ns0:v>
      </ns0:c>
      <ns0:c r="D49" s="191" t="str">
        <ns0:v>工作日（含法定调班日）</ns0:v>
      </ns0:c>
      <ns0:c r="E49" s="191" t="str">
        <ns0:v>09:54</ns0:v>
      </ns0:c>
      <ns0:c r="F49" s="191" t="str">
        <ns0:v>19:15</ns0:v>
      </ns0:c>
      <ns0:c r="G49" s="214" t="n">
        <ns0:v>21</ns0:v>
      </ns0:c>
      <ns0:c r="H49" s="214" t="n">
        <ns0:v>0</ns0:v>
      </ns0:c>
      <ns0:c r="I49" s="192" t="n">
        <ns0:f>G49/60*'核算总览'!$B$3/(21.75*8)*1.5</ns0:f>
        <ns0:v>73.49752250957853</ns0:v>
      </ns0:c>
      <ns0:c r="J49" s="192"/>
      <ns0:c r="K49" s="192"/>
      <ns0:c r="L49" s="192"/>
      <ns0:c r="M49" s="191" t="str"/>
      <ns0:c r="N49" s="191" t="str">
        <ns0:v>/Users/a./Desktop/飞书考勤留存_2026-10-27/逐日原始打卡截图与汇总_2026-10-27/原始截图/2026-03-03_01_日历与上部.jpg</ns0:v>
      </ns0:c>
      <ns0:c r="O49" s="191" t="str">
        <ns0:v>/Users/a./Desktop/飞书考勤留存_2026-10-27/逐日原始打卡截图与汇总_2026-10-27/原始截图/2026-03-03_02_明细下部.jpg</ns0:v>
      </ns0:c>
      <ns0:c r="P49" s="215"/>
      <ns0:c r="Q49" s="230"/>
      <ns0:c r="R49" s="201"/>
      <ns0:c r="S49" s="201"/>
    </ns0:row>
    <ns0:row r="50" ht="24" customHeight="1">
      <ns0:c r="A50" s="191" t="str">
        <ns0:v>2026-03-04</ns0:v>
      </ns0:c>
      <ns0:c r="B50" s="191" t="str">
        <ns0:v>2026-03</ns0:v>
      </ns0:c>
      <ns0:c r="C50" s="191" t="str">
        <ns0:v>三</ns0:v>
      </ns0:c>
      <ns0:c r="D50" s="191" t="str">
        <ns0:v>工作日（含法定调班日）</ns0:v>
      </ns0:c>
      <ns0:c r="E50" s="191" t="str">
        <ns0:v>09:56</ns0:v>
      </ns0:c>
      <ns0:c r="F50" s="191" t="str">
        <ns0:v>19:03</ns0:v>
      </ns0:c>
      <ns0:c r="G50" s="214" t="n">
        <ns0:v>7</ns0:v>
      </ns0:c>
      <ns0:c r="H50" s="214" t="n">
        <ns0:v>0</ns0:v>
      </ns0:c>
      <ns0:c r="I50" s="192" t="n">
        <ns0:f>G50/60*'核算总览'!$B$3/(21.75*8)*1.5</ns0:f>
        <ns0:v>24.499174169859515</ns0:v>
      </ns0:c>
      <ns0:c r="J50" s="192"/>
      <ns0:c r="K50" s="192"/>
      <ns0:c r="L50" s="192"/>
      <ns0:c r="M50" s="191" t="str"/>
      <ns0:c r="N50" s="191" t="str">
        <ns0:v>/Users/a./Desktop/飞书考勤留存_2026-10-27/逐日原始打卡截图与汇总_2026-10-27/原始截图/2026-03-04_01_日历与上部.jpg</ns0:v>
      </ns0:c>
      <ns0:c r="O50" s="191" t="str">
        <ns0:v>/Users/a./Desktop/飞书考勤留存_2026-10-27/逐日原始打卡截图与汇总_2026-10-27/原始截图/2026-03-04_02_明细下部.jpg</ns0:v>
      </ns0:c>
      <ns0:c r="P50" s="215"/>
      <ns0:c r="Q50" s="230"/>
      <ns0:c r="R50" s="201"/>
      <ns0:c r="S50" s="201"/>
    </ns0:row>
    <ns0:row r="51" ht="24" customHeight="1">
      <ns0:c r="A51" s="191" t="str">
        <ns0:v>2026-03-05</ns0:v>
      </ns0:c>
      <ns0:c r="B51" s="191" t="str">
        <ns0:v>2026-03</ns0:v>
      </ns0:c>
      <ns0:c r="C51" s="191" t="str">
        <ns0:v>四</ns0:v>
      </ns0:c>
      <ns0:c r="D51" s="191" t="str">
        <ns0:v>工作日（含法定调班日）</ns0:v>
      </ns0:c>
      <ns0:c r="E51" s="191" t="str">
        <ns0:v>10:00</ns0:v>
      </ns0:c>
      <ns0:c r="F51" s="191" t="str">
        <ns0:v>19:06</ns0:v>
      </ns0:c>
      <ns0:c r="G51" s="214" t="n">
        <ns0:v>6</ns0:v>
      </ns0:c>
      <ns0:c r="H51" s="214" t="n">
        <ns0:v>0</ns0:v>
      </ns0:c>
      <ns0:c r="I51" s="192" t="n">
        <ns0:f>G51/60*'核算总览'!$B$3/(21.75*8)*1.5</ns0:f>
        <ns0:v>20.999292145593866</ns0:v>
      </ns0:c>
      <ns0:c r="J51" s="192"/>
      <ns0:c r="K51" s="192"/>
      <ns0:c r="L51" s="192"/>
      <ns0:c r="M51" s="191" t="str"/>
      <ns0:c r="N51" s="191" t="str">
        <ns0:v>/Users/a./Desktop/飞书考勤留存_2026-10-27/逐日原始打卡截图与汇总_2026-10-27/原始截图/2026-03-05_01_日历与上部.jpg</ns0:v>
      </ns0:c>
      <ns0:c r="O51" s="191" t="str">
        <ns0:v>/Users/a./Desktop/飞书考勤留存_2026-10-27/逐日原始打卡截图与汇总_2026-10-27/原始截图/2026-03-05_02_明细下部.jpg</ns0:v>
      </ns0:c>
      <ns0:c r="P51" s="215"/>
      <ns0:c r="Q51" s="230"/>
      <ns0:c r="R51" s="201"/>
      <ns0:c r="S51" s="201"/>
    </ns0:row>
    <ns0:row r="52" ht="24" customHeight="1">
      <ns0:c r="A52" s="191" t="str">
        <ns0:v>2026-03-07</ns0:v>
      </ns0:c>
      <ns0:c r="B52" s="191" t="str">
        <ns0:v>2026-03</ns0:v>
      </ns0:c>
      <ns0:c r="C52" s="191" t="str">
        <ns0:v>六</ns0:v>
      </ns0:c>
      <ns0:c r="D52" s="191" t="str">
        <ns0:v>休息日或假期</ns0:v>
      </ns0:c>
      <ns0:c r="E52" s="191" t="str">
        <ns0:v>09:52</ns0:v>
      </ns0:c>
      <ns0:c r="F52" s="191" t="str">
        <ns0:v>20:06</ns0:v>
      </ns0:c>
      <ns0:c r="G52" s="214" t="n">
        <ns0:v>0</ns0:v>
      </ns0:c>
      <ns0:c r="H52" s="214" t="n">
        <ns0:v>554</ns0:v>
      </ns0:c>
      <ns0:c r="I52" s="192" t="n">
        <ns0:f>G52/60*'核算总览'!$B$3/(21.75*8)*1.5</ns0:f>
        <ns0:v>0</ns0:v>
      </ns0:c>
      <ns0:c r="J52" s="192"/>
      <ns0:c r="K52" s="192"/>
      <ns0:c r="L52" s="192"/>
      <ns0:c r="M52" s="191" t="str"/>
      <ns0:c r="N52" s="191" t="str">
        <ns0:v>/Users/a./Desktop/飞书考勤留存_2026-10-27/逐日原始打卡截图与汇总_2026-10-27/原始截图/2026-03-07_01_日历与上部.jpg</ns0:v>
      </ns0:c>
      <ns0:c r="O52" s="191" t="str">
        <ns0:v>/Users/a./Desktop/飞书考勤留存_2026-10-27/逐日原始打卡截图与汇总_2026-10-27/原始截图/2026-03-07_02_明细下部.jpg</ns0:v>
      </ns0:c>
      <ns0:c r="P52" s="215"/>
      <ns0:c r="Q52" s="230"/>
      <ns0:c r="R52" s="201"/>
      <ns0:c r="S52" s="201"/>
    </ns0:row>
    <ns0:row r="53" ht="24" customHeight="1">
      <ns0:c r="A53" s="191" t="str">
        <ns0:v>2026-03-08</ns0:v>
      </ns0:c>
      <ns0:c r="B53" s="191" t="str">
        <ns0:v>2026-03</ns0:v>
      </ns0:c>
      <ns0:c r="C53" s="191" t="str">
        <ns0:v>日</ns0:v>
      </ns0:c>
      <ns0:c r="D53" s="191" t="str">
        <ns0:v>休息日或假期</ns0:v>
      </ns0:c>
      <ns0:c r="E53" s="191" t="str">
        <ns0:v>09:53</ns0:v>
      </ns0:c>
      <ns0:c r="F53" s="191" t="str">
        <ns0:v>19:06</ns0:v>
      </ns0:c>
      <ns0:c r="G53" s="214" t="n">
        <ns0:v>0</ns0:v>
      </ns0:c>
      <ns0:c r="H53" s="214" t="n">
        <ns0:v>493</ns0:v>
      </ns0:c>
      <ns0:c r="I53" s="192" t="n">
        <ns0:f>G53/60*'核算总览'!$B$3/(21.75*8)*1.5</ns0:f>
        <ns0:v>0</ns0:v>
      </ns0:c>
      <ns0:c r="J53" s="192"/>
      <ns0:c r="K53" s="192"/>
      <ns0:c r="L53" s="192"/>
      <ns0:c r="M53" s="191" t="str"/>
      <ns0:c r="N53" s="191" t="str">
        <ns0:v>/Users/a./Desktop/飞书考勤留存_2026-10-27/逐日原始打卡截图与汇总_2026-10-27/原始截图/2026-03-08_01_日历与上部.jpg</ns0:v>
      </ns0:c>
      <ns0:c r="O53" s="191" t="str">
        <ns0:v>/Users/a./Desktop/飞书考勤留存_2026-10-27/逐日原始打卡截图与汇总_2026-10-27/原始截图/2026-03-08_02_明细下部.jpg</ns0:v>
      </ns0:c>
      <ns0:c r="P53" s="215"/>
      <ns0:c r="Q53" s="230"/>
      <ns0:c r="R53" s="201"/>
      <ns0:c r="S53" s="201"/>
    </ns0:row>
    <ns0:row r="54" ht="24" customHeight="1">
      <ns0:c r="A54" s="191" t="str">
        <ns0:v>2026-03-09</ns0:v>
      </ns0:c>
      <ns0:c r="B54" s="191" t="str">
        <ns0:v>2026-03</ns0:v>
      </ns0:c>
      <ns0:c r="C54" s="191" t="str">
        <ns0:v>一</ns0:v>
      </ns0:c>
      <ns0:c r="D54" s="191" t="str">
        <ns0:v>工作日（含法定调班日）</ns0:v>
      </ns0:c>
      <ns0:c r="E54" s="191" t="str">
        <ns0:v>10:00</ns0:v>
      </ns0:c>
      <ns0:c r="F54" s="191" t="str">
        <ns0:v>19:08</ns0:v>
      </ns0:c>
      <ns0:c r="G54" s="214" t="n">
        <ns0:v>8</ns0:v>
      </ns0:c>
      <ns0:c r="H54" s="214" t="n">
        <ns0:v>0</ns0:v>
      </ns0:c>
      <ns0:c r="I54" s="192" t="n">
        <ns0:f>G54/60*'核算总览'!$B$3/(21.75*8)*1.5</ns0:f>
        <ns0:v>27.99905619412516</ns0:v>
      </ns0:c>
      <ns0:c r="J54" s="192"/>
      <ns0:c r="K54" s="192"/>
      <ns0:c r="L54" s="192"/>
      <ns0:c r="M54" s="191" t="str"/>
      <ns0:c r="N54" s="191" t="str">
        <ns0:v>/Users/a./Desktop/飞书考勤留存_2026-10-27/逐日原始打卡截图与汇总_2026-10-27/原始截图/2026-03-09_01_日历与上部.jpg</ns0:v>
      </ns0:c>
      <ns0:c r="O54" s="191" t="str">
        <ns0:v>/Users/a./Desktop/飞书考勤留存_2026-10-27/逐日原始打卡截图与汇总_2026-10-27/原始截图/2026-03-09_02_明细下部.jpg</ns0:v>
      </ns0:c>
      <ns0:c r="P54" s="215"/>
      <ns0:c r="Q54" s="230"/>
      <ns0:c r="R54" s="201"/>
      <ns0:c r="S54" s="201"/>
    </ns0:row>
    <ns0:row r="55" ht="24" customHeight="1">
      <ns0:c r="A55" s="191" t="str">
        <ns0:v>2026-03-11</ns0:v>
      </ns0:c>
      <ns0:c r="B55" s="191" t="str">
        <ns0:v>2026-03</ns0:v>
      </ns0:c>
      <ns0:c r="C55" s="191" t="str">
        <ns0:v>三</ns0:v>
      </ns0:c>
      <ns0:c r="D55" s="191" t="str">
        <ns0:v>工作日（含法定调班日）</ns0:v>
      </ns0:c>
      <ns0:c r="E55" s="191" t="str">
        <ns0:v>09:59</ns0:v>
      </ns0:c>
      <ns0:c r="F55" s="191" t="str">
        <ns0:v>19:21</ns0:v>
      </ns0:c>
      <ns0:c r="G55" s="214" t="n">
        <ns0:v>22</ns0:v>
      </ns0:c>
      <ns0:c r="H55" s="214" t="n">
        <ns0:v>0</ns0:v>
      </ns0:c>
      <ns0:c r="I55" s="192" t="n">
        <ns0:f>G55/60*'核算总览'!$B$3/(21.75*8)*1.5</ns0:f>
        <ns0:v>76.99740453384418</ns0:v>
      </ns0:c>
      <ns0:c r="J55" s="192"/>
      <ns0:c r="K55" s="192"/>
      <ns0:c r="L55" s="192"/>
      <ns0:c r="M55" s="191" t="str"/>
      <ns0:c r="N55" s="191" t="str">
        <ns0:v>/Users/a./Desktop/飞书考勤留存_2026-10-27/逐日原始打卡截图与汇总_2026-10-27/原始截图/2026-03-11_01_日历与上部.jpg</ns0:v>
      </ns0:c>
      <ns0:c r="O55" s="191" t="str">
        <ns0:v>/Users/a./Desktop/飞书考勤留存_2026-10-27/逐日原始打卡截图与汇总_2026-10-27/原始截图/2026-03-11_02_明细下部.jpg</ns0:v>
      </ns0:c>
      <ns0:c r="P55" s="215"/>
      <ns0:c r="Q55" s="230"/>
      <ns0:c r="R55" s="201"/>
      <ns0:c r="S55" s="201"/>
    </ns0:row>
    <ns0:row r="56" ht="24" customHeight="1">
      <ns0:c r="A56" s="191" t="str">
        <ns0:v>2026-03-12</ns0:v>
      </ns0:c>
      <ns0:c r="B56" s="191" t="str">
        <ns0:v>2026-03</ns0:v>
      </ns0:c>
      <ns0:c r="C56" s="191" t="str">
        <ns0:v>四</ns0:v>
      </ns0:c>
      <ns0:c r="D56" s="191" t="str">
        <ns0:v>工作日（含法定调班日）</ns0:v>
      </ns0:c>
      <ns0:c r="E56" s="191" t="str">
        <ns0:v>09:59</ns0:v>
      </ns0:c>
      <ns0:c r="F56" s="191" t="str">
        <ns0:v>19:46</ns0:v>
      </ns0:c>
      <ns0:c r="G56" s="214" t="n">
        <ns0:v>47</ns0:v>
      </ns0:c>
      <ns0:c r="H56" s="214" t="n">
        <ns0:v>0</ns0:v>
      </ns0:c>
      <ns0:c r="I56" s="192" t="n">
        <ns0:f>G56/60*'核算总览'!$B$3/(21.75*8)*1.5</ns0:f>
        <ns0:v>164.4944551404853</ns0:v>
      </ns0:c>
      <ns0:c r="J56" s="192"/>
      <ns0:c r="K56" s="192"/>
      <ns0:c r="L56" s="192"/>
      <ns0:c r="M56" s="191" t="str"/>
      <ns0:c r="N56" s="191" t="str">
        <ns0:v>/Users/a./Desktop/飞书考勤留存_2026-10-27/逐日原始打卡截图与汇总_2026-10-27/原始截图/2026-03-12_01_日历与上部.jpg</ns0:v>
      </ns0:c>
      <ns0:c r="O56" s="191" t="str">
        <ns0:v>/Users/a./Desktop/飞书考勤留存_2026-10-27/逐日原始打卡截图与汇总_2026-10-27/原始截图/2026-03-12_02_明细下部.jpg</ns0:v>
      </ns0:c>
      <ns0:c r="P56" s="215"/>
      <ns0:c r="Q56" s="230"/>
      <ns0:c r="R56" s="201"/>
      <ns0:c r="S56" s="201"/>
    </ns0:row>
    <ns0:row r="57" ht="24" customHeight="1">
      <ns0:c r="A57" s="191" t="str">
        <ns0:v>2026-03-13</ns0:v>
      </ns0:c>
      <ns0:c r="B57" s="191" t="str">
        <ns0:v>2026-03</ns0:v>
      </ns0:c>
      <ns0:c r="C57" s="191" t="str">
        <ns0:v>五</ns0:v>
      </ns0:c>
      <ns0:c r="D57" s="191" t="str">
        <ns0:v>工作日（含法定调班日）</ns0:v>
      </ns0:c>
      <ns0:c r="E57" s="191" t="str">
        <ns0:v>09:59</ns0:v>
      </ns0:c>
      <ns0:c r="F57" s="191" t="str">
        <ns0:v>19:10</ns0:v>
      </ns0:c>
      <ns0:c r="G57" s="214" t="n">
        <ns0:v>11</ns0:v>
      </ns0:c>
      <ns0:c r="H57" s="214" t="n">
        <ns0:v>0</ns0:v>
      </ns0:c>
      <ns0:c r="I57" s="192" t="n">
        <ns0:f>G57/60*'核算总览'!$B$3/(21.75*8)*1.5</ns0:f>
        <ns0:v>38.49870226692209</ns0:v>
      </ns0:c>
      <ns0:c r="J57" s="192"/>
      <ns0:c r="K57" s="192"/>
      <ns0:c r="L57" s="192"/>
      <ns0:c r="M57" s="191" t="str"/>
      <ns0:c r="N57" s="191" t="str">
        <ns0:v>/Users/a./Desktop/飞书考勤留存_2026-10-27/逐日原始打卡截图与汇总_2026-10-27/原始截图/2026-03-13_01_日历与上部.jpg</ns0:v>
      </ns0:c>
      <ns0:c r="O57" s="191" t="str">
        <ns0:v>/Users/a./Desktop/飞书考勤留存_2026-10-27/逐日原始打卡截图与汇总_2026-10-27/原始截图/2026-03-13_02_明细下部.jpg</ns0:v>
      </ns0:c>
      <ns0:c r="P57" s="215"/>
      <ns0:c r="Q57" s="230"/>
      <ns0:c r="R57" s="201"/>
      <ns0:c r="S57" s="201"/>
    </ns0:row>
    <ns0:row r="58" ht="24" customHeight="1">
      <ns0:c r="A58" s="191" t="str">
        <ns0:v>2026-03-17</ns0:v>
      </ns0:c>
      <ns0:c r="B58" s="191" t="str">
        <ns0:v>2026-03</ns0:v>
      </ns0:c>
      <ns0:c r="C58" s="191" t="str">
        <ns0:v>二</ns0:v>
      </ns0:c>
      <ns0:c r="D58" s="191" t="str">
        <ns0:v>工作日（含法定调班日）</ns0:v>
      </ns0:c>
      <ns0:c r="E58" s="191" t="str">
        <ns0:v>09:58</ns0:v>
      </ns0:c>
      <ns0:c r="F58" s="191" t="str">
        <ns0:v>20:24</ns0:v>
      </ns0:c>
      <ns0:c r="G58" s="214" t="n">
        <ns0:v>86</ns0:v>
      </ns0:c>
      <ns0:c r="H58" s="214" t="n">
        <ns0:v>0</ns0:v>
      </ns0:c>
      <ns0:c r="I58" s="192" t="n">
        <ns0:f>G58/60*'核算总览'!$B$3/(21.75*8)*1.5</ns0:f>
        <ns0:v>300.9898540868454</ns0:v>
      </ns0:c>
      <ns0:c r="J58" s="192"/>
      <ns0:c r="K58" s="192"/>
      <ns0:c r="L58" s="192"/>
      <ns0:c r="M58" s="191" t="str"/>
      <ns0:c r="N58" s="191" t="str">
        <ns0:v>/Users/a./Desktop/飞书考勤留存_2026-10-27/逐日原始打卡截图与汇总_2026-10-27/原始截图/2026-03-17_01_日历与上部.jpg</ns0:v>
      </ns0:c>
      <ns0:c r="O58" s="191" t="str">
        <ns0:v>/Users/a./Desktop/飞书考勤留存_2026-10-27/逐日原始打卡截图与汇总_2026-10-27/原始截图/2026-03-17_02_明细下部.jpg</ns0:v>
      </ns0:c>
      <ns0:c r="P58" s="215"/>
      <ns0:c r="Q58" s="230"/>
      <ns0:c r="R58" s="201"/>
      <ns0:c r="S58" s="201"/>
    </ns0:row>
    <ns0:row r="59" ht="24" customHeight="1">
      <ns0:c r="A59" s="191" t="str">
        <ns0:v>2026-03-18</ns0:v>
      </ns0:c>
      <ns0:c r="B59" s="191" t="str">
        <ns0:v>2026-03</ns0:v>
      </ns0:c>
      <ns0:c r="C59" s="191" t="str">
        <ns0:v>三</ns0:v>
      </ns0:c>
      <ns0:c r="D59" s="191" t="str">
        <ns0:v>工作日（含法定调班日）</ns0:v>
      </ns0:c>
      <ns0:c r="E59" s="191" t="str">
        <ns0:v>09:59</ns0:v>
      </ns0:c>
      <ns0:c r="F59" s="191" t="str">
        <ns0:v>19:31</ns0:v>
      </ns0:c>
      <ns0:c r="G59" s="214" t="n">
        <ns0:v>32</ns0:v>
      </ns0:c>
      <ns0:c r="H59" s="214" t="n">
        <ns0:v>0</ns0:v>
      </ns0:c>
      <ns0:c r="I59" s="192" t="n">
        <ns0:f>G59/60*'核算总览'!$B$3/(21.75*8)*1.5</ns0:f>
        <ns0:v>111.99622477650064</ns0:v>
      </ns0:c>
      <ns0:c r="J59" s="192"/>
      <ns0:c r="K59" s="192"/>
      <ns0:c r="L59" s="192"/>
      <ns0:c r="M59" s="191" t="str"/>
      <ns0:c r="N59" s="191" t="str">
        <ns0:v>/Users/a./Desktop/飞书考勤留存_2026-10-27/逐日原始打卡截图与汇总_2026-10-27/原始截图/2026-03-18_01_日历与上部.jpg</ns0:v>
      </ns0:c>
      <ns0:c r="O59" s="191" t="str">
        <ns0:v>/Users/a./Desktop/飞书考勤留存_2026-10-27/逐日原始打卡截图与汇总_2026-10-27/原始截图/2026-03-18_02_明细下部.jpg</ns0:v>
      </ns0:c>
      <ns0:c r="P59" s="215"/>
      <ns0:c r="Q59" s="230"/>
      <ns0:c r="R59" s="201"/>
      <ns0:c r="S59" s="201"/>
    </ns0:row>
    <ns0:row r="60" ht="24" customHeight="1">
      <ns0:c r="A60" s="191" t="str">
        <ns0:v>2026-03-19</ns0:v>
      </ns0:c>
      <ns0:c r="B60" s="191" t="str">
        <ns0:v>2026-03</ns0:v>
      </ns0:c>
      <ns0:c r="C60" s="191" t="str">
        <ns0:v>四</ns0:v>
      </ns0:c>
      <ns0:c r="D60" s="191" t="str">
        <ns0:v>工作日（含法定调班日）</ns0:v>
      </ns0:c>
      <ns0:c r="E60" s="191" t="str">
        <ns0:v>09:57</ns0:v>
      </ns0:c>
      <ns0:c r="F60" s="191" t="str">
        <ns0:v>19:16</ns0:v>
      </ns0:c>
      <ns0:c r="G60" s="214" t="n">
        <ns0:v>19</ns0:v>
      </ns0:c>
      <ns0:c r="H60" s="214" t="n">
        <ns0:v>0</ns0:v>
      </ns0:c>
      <ns0:c r="I60" s="192" t="n">
        <ns0:f>G60/60*'核算总览'!$B$3/(21.75*8)*1.5</ns0:f>
        <ns0:v>66.49775846104725</ns0:v>
      </ns0:c>
      <ns0:c r="J60" s="192"/>
      <ns0:c r="K60" s="192"/>
      <ns0:c r="L60" s="192"/>
      <ns0:c r="M60" s="191" t="str"/>
      <ns0:c r="N60" s="191" t="str">
        <ns0:v>/Users/a./Desktop/飞书考勤留存_2026-10-27/逐日原始打卡截图与汇总_2026-10-27/原始截图/2026-03-19_01_日历与上部.jpg</ns0:v>
      </ns0:c>
      <ns0:c r="O60" s="191" t="str">
        <ns0:v>/Users/a./Desktop/飞书考勤留存_2026-10-27/逐日原始打卡截图与汇总_2026-10-27/原始截图/2026-03-19_02_明细下部.jpg</ns0:v>
      </ns0:c>
      <ns0:c r="P60" s="215"/>
      <ns0:c r="Q60" s="230"/>
      <ns0:c r="R60" s="201"/>
      <ns0:c r="S60" s="201"/>
    </ns0:row>
    <ns0:row r="61" ht="24" customHeight="1">
      <ns0:c r="A61" s="191" t="str">
        <ns0:v>2026-03-21</ns0:v>
      </ns0:c>
      <ns0:c r="B61" s="191" t="str">
        <ns0:v>2026-03</ns0:v>
      </ns0:c>
      <ns0:c r="C61" s="191" t="str">
        <ns0:v>六</ns0:v>
      </ns0:c>
      <ns0:c r="D61" s="191" t="str">
        <ns0:v>休息日或假期</ns0:v>
      </ns0:c>
      <ns0:c r="E61" s="191" t="str">
        <ns0:v>09:57</ns0:v>
      </ns0:c>
      <ns0:c r="F61" s="191" t="str">
        <ns0:v>20:12</ns0:v>
      </ns0:c>
      <ns0:c r="G61" s="214" t="n">
        <ns0:v>0</ns0:v>
      </ns0:c>
      <ns0:c r="H61" s="214" t="n">
        <ns0:v>555</ns0:v>
      </ns0:c>
      <ns0:c r="I61" s="192" t="n">
        <ns0:f>G61/60*'核算总览'!$B$3/(21.75*8)*1.5</ns0:f>
        <ns0:v>0</ns0:v>
      </ns0:c>
      <ns0:c r="J61" s="192"/>
      <ns0:c r="K61" s="192"/>
      <ns0:c r="L61" s="192"/>
      <ns0:c r="M61" s="191" t="str"/>
      <ns0:c r="N61" s="191" t="str">
        <ns0:v>/Users/a./Desktop/飞书考勤留存_2026-10-27/逐日原始打卡截图与汇总_2026-10-27/原始截图/2026-03-21_01_日历与上部.jpg</ns0:v>
      </ns0:c>
      <ns0:c r="O61" s="191" t="str">
        <ns0:v>/Users/a./Desktop/飞书考勤留存_2026-10-27/逐日原始打卡截图与汇总_2026-10-27/原始截图/2026-03-21_02_明细下部.jpg</ns0:v>
      </ns0:c>
      <ns0:c r="P61" s="215"/>
      <ns0:c r="Q61" s="230"/>
      <ns0:c r="R61" s="201"/>
      <ns0:c r="S61" s="201"/>
    </ns0:row>
    <ns0:row r="62" ht="24" customHeight="1">
      <ns0:c r="A62" s="191" t="str">
        <ns0:v>2026-03-22</ns0:v>
      </ns0:c>
      <ns0:c r="B62" s="191" t="str">
        <ns0:v>2026-03</ns0:v>
      </ns0:c>
      <ns0:c r="C62" s="191" t="str">
        <ns0:v>日</ns0:v>
      </ns0:c>
      <ns0:c r="D62" s="191" t="str">
        <ns0:v>休息日或假期</ns0:v>
      </ns0:c>
      <ns0:c r="E62" s="191" t="str">
        <ns0:v>09:54</ns0:v>
      </ns0:c>
      <ns0:c r="F62" s="191" t="str">
        <ns0:v>20:00</ns0:v>
      </ns0:c>
      <ns0:c r="G62" s="214" t="n">
        <ns0:v>0</ns0:v>
      </ns0:c>
      <ns0:c r="H62" s="214" t="n">
        <ns0:v>546</ns0:v>
      </ns0:c>
      <ns0:c r="I62" s="192" t="n">
        <ns0:f>G62/60*'核算总览'!$B$3/(21.75*8)*1.5</ns0:f>
        <ns0:v>0</ns0:v>
      </ns0:c>
      <ns0:c r="J62" s="192"/>
      <ns0:c r="K62" s="192"/>
      <ns0:c r="L62" s="192"/>
      <ns0:c r="M62" s="191" t="str"/>
      <ns0:c r="N62" s="191" t="str">
        <ns0:v>/Users/a./Desktop/飞书考勤留存_2026-10-27/逐日原始打卡截图与汇总_2026-10-27/原始截图/2026-03-22_01_日历与上部.jpg</ns0:v>
      </ns0:c>
      <ns0:c r="O62" s="191" t="str">
        <ns0:v>/Users/a./Desktop/飞书考勤留存_2026-10-27/逐日原始打卡截图与汇总_2026-10-27/原始截图/2026-03-22_02_明细下部.jpg</ns0:v>
      </ns0:c>
      <ns0:c r="P62" s="215"/>
      <ns0:c r="Q62" s="230"/>
      <ns0:c r="R62" s="201"/>
      <ns0:c r="S62" s="201"/>
    </ns0:row>
    <ns0:row r="63" ht="24" customHeight="1">
      <ns0:c r="A63" s="191" t="str">
        <ns0:v>2026-03-23</ns0:v>
      </ns0:c>
      <ns0:c r="B63" s="191" t="str">
        <ns0:v>2026-03</ns0:v>
      </ns0:c>
      <ns0:c r="C63" s="191" t="str">
        <ns0:v>一</ns0:v>
      </ns0:c>
      <ns0:c r="D63" s="191" t="str">
        <ns0:v>工作日（含法定调班日）</ns0:v>
      </ns0:c>
      <ns0:c r="E63" s="191" t="str">
        <ns0:v>09:58</ns0:v>
      </ns0:c>
      <ns0:c r="F63" s="191" t="str">
        <ns0:v>20:11</ns0:v>
      </ns0:c>
      <ns0:c r="G63" s="214" t="n">
        <ns0:v>73</ns0:v>
      </ns0:c>
      <ns0:c r="H63" s="214" t="n">
        <ns0:v>0</ns0:v>
      </ns0:c>
      <ns0:c r="I63" s="192" t="n">
        <ns0:f>G63/60*'核算总览'!$B$3/(21.75*8)*1.5</ns0:f>
        <ns0:v>255.49138777139206</ns0:v>
      </ns0:c>
      <ns0:c r="J63" s="192"/>
      <ns0:c r="K63" s="192"/>
      <ns0:c r="L63" s="192"/>
      <ns0:c r="M63" s="191" t="str"/>
      <ns0:c r="N63" s="191" t="str">
        <ns0:v>/Users/a./Desktop/飞书考勤留存_2026-10-27/逐日原始打卡截图与汇总_2026-10-27/原始截图/2026-03-23_01_日历与上部.jpg</ns0:v>
      </ns0:c>
      <ns0:c r="O63" s="191" t="str">
        <ns0:v>/Users/a./Desktop/飞书考勤留存_2026-10-27/逐日原始打卡截图与汇总_2026-10-27/原始截图/2026-03-23_02_明细下部.jpg</ns0:v>
      </ns0:c>
      <ns0:c r="P63" s="215"/>
      <ns0:c r="Q63" s="230"/>
      <ns0:c r="R63" s="201"/>
      <ns0:c r="S63" s="201"/>
    </ns0:row>
    <ns0:row r="64" ht="24" customHeight="1">
      <ns0:c r="A64" s="191" t="str">
        <ns0:v>2026-03-24</ns0:v>
      </ns0:c>
      <ns0:c r="B64" s="191" t="str">
        <ns0:v>2026-03</ns0:v>
      </ns0:c>
      <ns0:c r="C64" s="191" t="str">
        <ns0:v>二</ns0:v>
      </ns0:c>
      <ns0:c r="D64" s="191" t="str">
        <ns0:v>工作日（含法定调班日）</ns0:v>
      </ns0:c>
      <ns0:c r="E64" s="191" t="str">
        <ns0:v>10:00</ns0:v>
      </ns0:c>
      <ns0:c r="F64" s="191" t="str">
        <ns0:v>19:15</ns0:v>
      </ns0:c>
      <ns0:c r="G64" s="214" t="n">
        <ns0:v>15</ns0:v>
      </ns0:c>
      <ns0:c r="H64" s="214" t="n">
        <ns0:v>0</ns0:v>
      </ns0:c>
      <ns0:c r="I64" s="192" t="n">
        <ns0:f>G64/60*'核算总览'!$B$3/(21.75*8)*1.5</ns0:f>
        <ns0:v>52.498230363984675</ns0:v>
      </ns0:c>
      <ns0:c r="J64" s="192"/>
      <ns0:c r="K64" s="192"/>
      <ns0:c r="L64" s="192"/>
      <ns0:c r="M64" s="191" t="str"/>
      <ns0:c r="N64" s="191" t="str">
        <ns0:v>/Users/a./Desktop/飞书考勤留存_2026-10-27/逐日原始打卡截图与汇总_2026-10-27/原始截图/2026-03-24_01_日历与上部.jpg</ns0:v>
      </ns0:c>
      <ns0:c r="O64" s="191" t="str">
        <ns0:v>/Users/a./Desktop/飞书考勤留存_2026-10-27/逐日原始打卡截图与汇总_2026-10-27/原始截图/2026-03-24_02_明细下部.jpg</ns0:v>
      </ns0:c>
      <ns0:c r="P64" s="215"/>
      <ns0:c r="Q64" s="230"/>
      <ns0:c r="R64" s="201"/>
      <ns0:c r="S64" s="201"/>
    </ns0:row>
    <ns0:row r="65" ht="24" customHeight="1">
      <ns0:c r="A65" s="191" t="str">
        <ns0:v>2026-03-25</ns0:v>
      </ns0:c>
      <ns0:c r="B65" s="191" t="str">
        <ns0:v>2026-03</ns0:v>
      </ns0:c>
      <ns0:c r="C65" s="191" t="str">
        <ns0:v>三</ns0:v>
      </ns0:c>
      <ns0:c r="D65" s="191" t="str">
        <ns0:v>工作日（含法定调班日）</ns0:v>
      </ns0:c>
      <ns0:c r="E65" s="191" t="str">
        <ns0:v>10:00</ns0:v>
      </ns0:c>
      <ns0:c r="F65" s="191" t="str">
        <ns0:v>19:18</ns0:v>
      </ns0:c>
      <ns0:c r="G65" s="214" t="n">
        <ns0:v>18</ns0:v>
      </ns0:c>
      <ns0:c r="H65" s="214" t="n">
        <ns0:v>0</ns0:v>
      </ns0:c>
      <ns0:c r="I65" s="192" t="n">
        <ns0:f>G65/60*'核算总览'!$B$3/(21.75*8)*1.5</ns0:f>
        <ns0:v>62.99787643678161</ns0:v>
      </ns0:c>
      <ns0:c r="J65" s="192"/>
      <ns0:c r="K65" s="192"/>
      <ns0:c r="L65" s="192"/>
      <ns0:c r="M65" s="191" t="str"/>
      <ns0:c r="N65" s="191" t="str">
        <ns0:v>/Users/a./Desktop/飞书考勤留存_2026-10-27/逐日原始打卡截图与汇总_2026-10-27/原始截图/2026-03-25_01_日历与上部.jpg</ns0:v>
      </ns0:c>
      <ns0:c r="O65" s="191" t="str">
        <ns0:v>/Users/a./Desktop/飞书考勤留存_2026-10-27/逐日原始打卡截图与汇总_2026-10-27/原始截图/2026-03-25_02_明细下部.jpg</ns0:v>
      </ns0:c>
      <ns0:c r="P65" s="215"/>
      <ns0:c r="Q65" s="230"/>
      <ns0:c r="R65" s="201"/>
      <ns0:c r="S65" s="201"/>
    </ns0:row>
    <ns0:row r="66" ht="24" customHeight="1">
      <ns0:c r="A66" s="191" t="str">
        <ns0:v>2026-03-26</ns0:v>
      </ns0:c>
      <ns0:c r="B66" s="191" t="str">
        <ns0:v>2026-03</ns0:v>
      </ns0:c>
      <ns0:c r="C66" s="191" t="str">
        <ns0:v>四</ns0:v>
      </ns0:c>
      <ns0:c r="D66" s="191" t="str">
        <ns0:v>工作日（含法定调班日）</ns0:v>
      </ns0:c>
      <ns0:c r="E66" s="191" t="str">
        <ns0:v>10:00</ns0:v>
      </ns0:c>
      <ns0:c r="F66" s="191" t="str">
        <ns0:v>19:53</ns0:v>
      </ns0:c>
      <ns0:c r="G66" s="214" t="n">
        <ns0:v>53</ns0:v>
      </ns0:c>
      <ns0:c r="H66" s="214" t="n">
        <ns0:v>0</ns0:v>
      </ns0:c>
      <ns0:c r="I66" s="192" t="n">
        <ns0:f>G66/60*'核算总览'!$B$3/(21.75*8)*1.5</ns0:f>
        <ns0:v>185.49374728607916</ns0:v>
      </ns0:c>
      <ns0:c r="J66" s="192"/>
      <ns0:c r="K66" s="192"/>
      <ns0:c r="L66" s="192"/>
      <ns0:c r="M66" s="191" t="str"/>
      <ns0:c r="N66" s="191" t="str">
        <ns0:v>/Users/a./Desktop/飞书考勤留存_2026-10-27/逐日原始打卡截图与汇总_2026-10-27/原始截图/2026-03-26_01_日历与上部.jpg</ns0:v>
      </ns0:c>
      <ns0:c r="O66" s="191" t="str">
        <ns0:v>/Users/a./Desktop/飞书考勤留存_2026-10-27/逐日原始打卡截图与汇总_2026-10-27/原始截图/2026-03-26_02_明细下部.jpg</ns0:v>
      </ns0:c>
      <ns0:c r="P66" s="215"/>
      <ns0:c r="Q66" s="230"/>
      <ns0:c r="R66" s="201"/>
      <ns0:c r="S66" s="201"/>
    </ns0:row>
    <ns0:row r="67" ht="24" customHeight="1">
      <ns0:c r="A67" s="191" t="str">
        <ns0:v>2026-03-27</ns0:v>
      </ns0:c>
      <ns0:c r="B67" s="191" t="str">
        <ns0:v>2026-03</ns0:v>
      </ns0:c>
      <ns0:c r="C67" s="191" t="str">
        <ns0:v>五</ns0:v>
      </ns0:c>
      <ns0:c r="D67" s="191" t="str">
        <ns0:v>工作日（含法定调班日）</ns0:v>
      </ns0:c>
      <ns0:c r="E67" s="191" t="str">
        <ns0:v>09:52</ns0:v>
      </ns0:c>
      <ns0:c r="F67" s="191" t="str">
        <ns0:v>19:26</ns0:v>
      </ns0:c>
      <ns0:c r="G67" s="214" t="n">
        <ns0:v>34</ns0:v>
      </ns0:c>
      <ns0:c r="H67" s="214" t="n">
        <ns0:v>0</ns0:v>
      </ns0:c>
      <ns0:c r="I67" s="192" t="n">
        <ns0:f>G67/60*'核算总览'!$B$3/(21.75*8)*1.5</ns0:f>
        <ns0:v>118.99598882503193</ns0:v>
      </ns0:c>
      <ns0:c r="J67" s="192"/>
      <ns0:c r="K67" s="192"/>
      <ns0:c r="L67" s="192"/>
      <ns0:c r="M67" s="191" t="str"/>
      <ns0:c r="N67" s="191" t="str">
        <ns0:v>/Users/a./Desktop/飞书考勤留存_2026-10-27/逐日原始打卡截图与汇总_2026-10-27/原始截图/2026-03-27_01_日历与上部.jpg</ns0:v>
      </ns0:c>
      <ns0:c r="O67" s="191" t="str">
        <ns0:v>/Users/a./Desktop/飞书考勤留存_2026-10-27/逐日原始打卡截图与汇总_2026-10-27/原始截图/2026-03-27_02_明细下部.jpg</ns0:v>
      </ns0:c>
      <ns0:c r="P67" s="215"/>
      <ns0:c r="Q67" s="230"/>
      <ns0:c r="R67" s="201"/>
      <ns0:c r="S67" s="201"/>
    </ns0:row>
    <ns0:row r="68" ht="24" customHeight="1">
      <ns0:c r="A68" s="191" t="str">
        <ns0:v>2026-03-30</ns0:v>
      </ns0:c>
      <ns0:c r="B68" s="191" t="str">
        <ns0:v>2026-03</ns0:v>
      </ns0:c>
      <ns0:c r="C68" s="191" t="str">
        <ns0:v>一</ns0:v>
      </ns0:c>
      <ns0:c r="D68" s="191" t="str">
        <ns0:v>工作日（含法定调班日）</ns0:v>
      </ns0:c>
      <ns0:c r="E68" s="191" t="str">
        <ns0:v>09:53</ns0:v>
      </ns0:c>
      <ns0:c r="F68" s="191" t="str">
        <ns0:v>20:00</ns0:v>
      </ns0:c>
      <ns0:c r="G68" s="214" t="n">
        <ns0:v>67</ns0:v>
      </ns0:c>
      <ns0:c r="H68" s="214" t="n">
        <ns0:v>0</ns0:v>
      </ns0:c>
      <ns0:c r="I68" s="192" t="n">
        <ns0:f>G68/60*'核算总览'!$B$3/(21.75*8)*1.5</ns0:f>
        <ns0:v>234.49209562579819</ns0:v>
      </ns0:c>
      <ns0:c r="J68" s="192"/>
      <ns0:c r="K68" s="192"/>
      <ns0:c r="L68" s="192"/>
      <ns0:c r="M68" s="191" t="str"/>
      <ns0:c r="N68" s="191" t="str">
        <ns0:v>/Users/a./Desktop/飞书考勤留存_2026-10-27/逐日原始打卡截图与汇总_2026-10-27/原始截图/2026-03-30_01_日历与上部.jpg</ns0:v>
      </ns0:c>
      <ns0:c r="O68" s="191" t="str">
        <ns0:v>/Users/a./Desktop/飞书考勤留存_2026-10-27/逐日原始打卡截图与汇总_2026-10-27/原始截图/2026-03-30_02_明细下部.jpg</ns0:v>
      </ns0:c>
      <ns0:c r="P68" s="215"/>
      <ns0:c r="Q68" s="230"/>
      <ns0:c r="R68" s="201"/>
      <ns0:c r="S68" s="201"/>
    </ns0:row>
    <ns0:row r="69" ht="24" customHeight="1">
      <ns0:c r="A69" s="191" t="str">
        <ns0:v>2026-03-31</ns0:v>
      </ns0:c>
      <ns0:c r="B69" s="191" t="str">
        <ns0:v>2026-03</ns0:v>
      </ns0:c>
      <ns0:c r="C69" s="191" t="str">
        <ns0:v>二</ns0:v>
      </ns0:c>
      <ns0:c r="D69" s="191" t="str">
        <ns0:v>工作日（含法定调班日）</ns0:v>
      </ns0:c>
      <ns0:c r="E69" s="191" t="str">
        <ns0:v>09:55</ns0:v>
      </ns0:c>
      <ns0:c r="F69" s="191" t="str">
        <ns0:v>20:13</ns0:v>
      </ns0:c>
      <ns0:c r="G69" s="214" t="n">
        <ns0:v>78</ns0:v>
      </ns0:c>
      <ns0:c r="H69" s="214" t="n">
        <ns0:v>0</ns0:v>
      </ns0:c>
      <ns0:c r="I69" s="192" t="n">
        <ns0:f>G69/60*'核算总览'!$B$3/(21.75*8)*1.5</ns0:f>
        <ns0:v>272.9907978927203</ns0:v>
      </ns0:c>
      <ns0:c r="J69" s="192"/>
      <ns0:c r="K69" s="192"/>
      <ns0:c r="L69" s="192"/>
      <ns0:c r="M69" s="191" t="str"/>
      <ns0:c r="N69" s="191" t="str">
        <ns0:v>/Users/a./Desktop/飞书考勤留存_2026-10-27/逐日原始打卡截图与汇总_2026-10-27/原始截图/2026-03-31_01_日历与上部.jpg</ns0:v>
      </ns0:c>
      <ns0:c r="O69" s="191" t="str">
        <ns0:v>/Users/a./Desktop/飞书考勤留存_2026-10-27/逐日原始打卡截图与汇总_2026-10-27/原始截图/2026-03-31_02_明细下部.jpg</ns0:v>
      </ns0:c>
      <ns0:c r="P69" s="215"/>
      <ns0:c r="Q69" s="230"/>
      <ns0:c r="R69" s="201"/>
      <ns0:c r="S69" s="201"/>
    </ns0:row>
    <ns0:row r="70" ht="24" customHeight="1">
      <ns0:c r="A70" s="191" t="str">
        <ns0:v>2026-04-01</ns0:v>
      </ns0:c>
      <ns0:c r="B70" s="191" t="str">
        <ns0:v>2026-04</ns0:v>
      </ns0:c>
      <ns0:c r="C70" s="191" t="str">
        <ns0:v>三</ns0:v>
      </ns0:c>
      <ns0:c r="D70" s="191" t="str">
        <ns0:v>工作日（含法定调班日）</ns0:v>
      </ns0:c>
      <ns0:c r="E70" s="191" t="str">
        <ns0:v>09:56</ns0:v>
      </ns0:c>
      <ns0:c r="F70" s="191" t="str">
        <ns0:v>20:18</ns0:v>
      </ns0:c>
      <ns0:c r="G70" s="214" t="n">
        <ns0:v>82</ns0:v>
      </ns0:c>
      <ns0:c r="H70" s="214" t="n">
        <ns0:v>0</ns0:v>
      </ns0:c>
      <ns0:c r="I70" s="192" t="n">
        <ns0:f>G70/60*'核算总览'!$B$3/(21.75*8)*1.5</ns0:f>
        <ns0:v>286.99032598978283</ns0:v>
      </ns0:c>
      <ns0:c r="J70" s="192"/>
      <ns0:c r="K70" s="192"/>
      <ns0:c r="L70" s="192"/>
      <ns0:c r="M70" s="191" t="str"/>
      <ns0:c r="N70" s="191" t="str">
        <ns0:v>/Users/a./Desktop/飞书考勤留存_2026-10-27/逐日原始打卡截图与汇总_2026-10-27/原始截图/2026-04-01_01_日历与上部.jpg</ns0:v>
      </ns0:c>
      <ns0:c r="O70" s="191" t="str">
        <ns0:v>/Users/a./Desktop/飞书考勤留存_2026-10-27/逐日原始打卡截图与汇总_2026-10-27/原始截图/2026-04-01_02_明细下部.jpg</ns0:v>
      </ns0:c>
      <ns0:c r="P70" s="215" t="n">
        <ns0:v>9.366666666666667</ns0:v>
      </ns0:c>
      <ns0:c r="Q70" s="230" t="n">
        <ns0:f>IF(P70&gt;=11,20%,IF(P70&gt;=10,10%,IF(P70&gt;=9,5%,0)))</ns0:f>
        <ns0:v>0.05</ns0:v>
      </ns0:c>
      <ns0:c r="R70" s="201" t="n">
        <ns0:f>IF(H70&gt;0,0,IF(P70&gt;=11,3,IF(P70&gt;=10,2,IF(P70&gt;=9,1,0))))</ns0:f>
        <ns0:v>1</ns0:v>
      </ns0:c>
      <ns0:c r="S70" s="201" t="n">
        <ns0:f>Q70/5%</ns0:f>
        <ns0:v>1</ns0:v>
      </ns0:c>
    </ns0:row>
    <ns0:row r="71" ht="24" customHeight="1">
      <ns0:c r="A71" s="191" t="str">
        <ns0:v>2026-04-02</ns0:v>
      </ns0:c>
      <ns0:c r="B71" s="191" t="str">
        <ns0:v>2026-04</ns0:v>
      </ns0:c>
      <ns0:c r="C71" s="191" t="str">
        <ns0:v>四</ns0:v>
      </ns0:c>
      <ns0:c r="D71" s="191" t="str">
        <ns0:v>工作日（含法定调班日）</ns0:v>
      </ns0:c>
      <ns0:c r="E71" s="191" t="str">
        <ns0:v>09:59</ns0:v>
      </ns0:c>
      <ns0:c r="F71" s="191" t="str">
        <ns0:v>21:13</ns0:v>
      </ns0:c>
      <ns0:c r="G71" s="214" t="n">
        <ns0:v>134</ns0:v>
      </ns0:c>
      <ns0:c r="H71" s="214" t="n">
        <ns0:v>0</ns0:v>
      </ns0:c>
      <ns0:c r="I71" s="192" t="n">
        <ns0:f>G71/60*'核算总览'!$B$3/(21.75*8)*1.5</ns0:f>
        <ns0:v>468.98419125159637</ns0:v>
      </ns0:c>
      <ns0:c r="J71" s="192"/>
      <ns0:c r="K71" s="192"/>
      <ns0:c r="L71" s="192"/>
      <ns0:c r="M71" s="191" t="str"/>
      <ns0:c r="N71" s="191" t="str">
        <ns0:v>/Users/a./Desktop/飞书考勤留存_2026-10-27/逐日原始打卡截图与汇总_2026-10-27/原始截图/2026-04-02_01_日历与上部.jpg</ns0:v>
      </ns0:c>
      <ns0:c r="O71" s="191" t="str">
        <ns0:v>/Users/a./Desktop/飞书考勤留存_2026-10-27/逐日原始打卡截图与汇总_2026-10-27/原始截图/2026-04-02_02_明细下部.jpg</ns0:v>
      </ns0:c>
      <ns0:c r="P71" s="215" t="n">
        <ns0:v>10.233333333333333</ns0:v>
      </ns0:c>
      <ns0:c r="Q71" s="230" t="n">
        <ns0:f>IF(P71&gt;=11,20%,IF(P71&gt;=10,10%,IF(P71&gt;=9,5%,0)))</ns0:f>
        <ns0:v>0.1</ns0:v>
      </ns0:c>
      <ns0:c r="R71" s="201" t="n">
        <ns0:f>IF(H71&gt;0,0,IF(P71&gt;=11,3,IF(P71&gt;=10,2,IF(P71&gt;=9,1,0))))</ns0:f>
        <ns0:v>2</ns0:v>
      </ns0:c>
      <ns0:c r="S71" s="201" t="n">
        <ns0:f>Q71/5%</ns0:f>
        <ns0:v>2</ns0:v>
      </ns0:c>
    </ns0:row>
    <ns0:row r="72" ht="24" customHeight="1">
      <ns0:c r="A72" s="191" t="str">
        <ns0:v>2026-04-03</ns0:v>
      </ns0:c>
      <ns0:c r="B72" s="191" t="str">
        <ns0:v>2026-04</ns0:v>
      </ns0:c>
      <ns0:c r="C72" s="191" t="str">
        <ns0:v>五</ns0:v>
      </ns0:c>
      <ns0:c r="D72" s="191" t="str">
        <ns0:v>工作日（含法定调班日）</ns0:v>
      </ns0:c>
      <ns0:c r="E72" s="191" t="str">
        <ns0:v>09:51</ns0:v>
      </ns0:c>
      <ns0:c r="F72" s="191" t="str">
        <ns0:v>19:23</ns0:v>
      </ns0:c>
      <ns0:c r="G72" s="214" t="n">
        <ns0:v>32</ns0:v>
      </ns0:c>
      <ns0:c r="H72" s="214" t="n">
        <ns0:v>0</ns0:v>
      </ns0:c>
      <ns0:c r="I72" s="192" t="n">
        <ns0:f>G72/60*'核算总览'!$B$3/(21.75*8)*1.5</ns0:f>
        <ns0:v>111.99622477650064</ns0:v>
      </ns0:c>
      <ns0:c r="J72" s="192"/>
      <ns0:c r="K72" s="192"/>
      <ns0:c r="L72" s="192"/>
      <ns0:c r="M72" s="191" t="str"/>
      <ns0:c r="N72" s="191" t="str">
        <ns0:v>/Users/a./Desktop/飞书考勤留存_2026-10-27/逐日原始打卡截图与汇总_2026-10-27/原始截图/2026-04-03_01_日历与上部.jpg</ns0:v>
      </ns0:c>
      <ns0:c r="O72" s="191" t="str">
        <ns0:v>/Users/a./Desktop/飞书考勤留存_2026-10-27/逐日原始打卡截图与汇总_2026-10-27/原始截图/2026-04-03_02_明细下部.jpg</ns0:v>
      </ns0:c>
      <ns0:c r="P72" s="215" t="n">
        <ns0:v>8.533333333333333</ns0:v>
      </ns0:c>
      <ns0:c r="Q72" s="230" t="n">
        <ns0:f>IF(P72&gt;=11,20%,IF(P72&gt;=10,10%,IF(P72&gt;=9,5%,0)))</ns0:f>
        <ns0:v>0</ns0:v>
      </ns0:c>
      <ns0:c r="R72" s="201" t="n">
        <ns0:f>IF(H72&gt;0,0,IF(P72&gt;=11,3,IF(P72&gt;=10,2,IF(P72&gt;=9,1,0))))</ns0:f>
        <ns0:v>0</ns0:v>
      </ns0:c>
      <ns0:c r="S72" s="201" t="n">
        <ns0:f>Q72/5%</ns0:f>
        <ns0:v>0</ns0:v>
      </ns0:c>
    </ns0:row>
    <ns0:row r="73" ht="24" customHeight="1">
      <ns0:c r="A73" s="191" t="str">
        <ns0:v>2026-04-07</ns0:v>
      </ns0:c>
      <ns0:c r="B73" s="191" t="str">
        <ns0:v>2026-04</ns0:v>
      </ns0:c>
      <ns0:c r="C73" s="191" t="str">
        <ns0:v>二</ns0:v>
      </ns0:c>
      <ns0:c r="D73" s="191" t="str">
        <ns0:v>工作日（含法定调班日）</ns0:v>
      </ns0:c>
      <ns0:c r="E73" s="191" t="str">
        <ns0:v>09:59</ns0:v>
      </ns0:c>
      <ns0:c r="F73" s="191" t="str">
        <ns0:v>22:01</ns0:v>
      </ns0:c>
      <ns0:c r="G73" s="214" t="n">
        <ns0:v>182</ns0:v>
      </ns0:c>
      <ns0:c r="H73" s="214" t="n">
        <ns0:v>0</ns0:v>
      </ns0:c>
      <ns0:c r="I73" s="192" t="n">
        <ns0:f>G73/60*'核算总览'!$B$3/(21.75*8)*1.5</ns0:f>
        <ns0:v>636.9785284163474</ns0:v>
      </ns0:c>
      <ns0:c r="J73" s="192"/>
      <ns0:c r="K73" s="192"/>
      <ns0:c r="L73" s="192"/>
      <ns0:c r="M73" s="191" t="str"/>
      <ns0:c r="N73" s="191" t="str">
        <ns0:v>/Users/a./Desktop/飞书考勤留存_2026-10-27/逐日原始打卡截图与汇总_2026-10-27/原始截图/2026-04-07_01_日历与上部.jpg</ns0:v>
      </ns0:c>
      <ns0:c r="O73" s="191" t="str">
        <ns0:v>/Users/a./Desktop/飞书考勤留存_2026-10-27/逐日原始打卡截图与汇总_2026-10-27/原始截图/2026-04-07_02_明细下部.jpg</ns0:v>
      </ns0:c>
      <ns0:c r="P73" s="215" t="n">
        <ns0:v>11.033333333333333</ns0:v>
      </ns0:c>
      <ns0:c r="Q73" s="230" t="n">
        <ns0:f>IF(P73&gt;=11,20%,IF(P73&gt;=10,10%,IF(P73&gt;=9,5%,0)))</ns0:f>
        <ns0:v>0.2</ns0:v>
      </ns0:c>
      <ns0:c r="R73" s="201" t="n">
        <ns0:f>IF(H73&gt;0,0,IF(P73&gt;=11,3,IF(P73&gt;=10,2,IF(P73&gt;=9,1,0))))</ns0:f>
        <ns0:v>3</ns0:v>
      </ns0:c>
      <ns0:c r="S73" s="201" t="n">
        <ns0:f>Q73/5%</ns0:f>
        <ns0:v>4</ns0:v>
      </ns0:c>
    </ns0:row>
    <ns0:row r="74" ht="24" customHeight="1">
      <ns0:c r="A74" s="191" t="str">
        <ns0:v>2026-04-09</ns0:v>
      </ns0:c>
      <ns0:c r="B74" s="191" t="str">
        <ns0:v>2026-04</ns0:v>
      </ns0:c>
      <ns0:c r="C74" s="191" t="str">
        <ns0:v>四</ns0:v>
      </ns0:c>
      <ns0:c r="D74" s="191" t="str">
        <ns0:v>工作日（含法定调班日）</ns0:v>
      </ns0:c>
      <ns0:c r="E74" s="191" t="str">
        <ns0:v>09:55</ns0:v>
      </ns0:c>
      <ns0:c r="F74" s="191" t="str">
        <ns0:v>20:28</ns0:v>
      </ns0:c>
      <ns0:c r="G74" s="214" t="n">
        <ns0:v>93</ns0:v>
      </ns0:c>
      <ns0:c r="H74" s="214" t="n">
        <ns0:v>0</ns0:v>
      </ns0:c>
      <ns0:c r="I74" s="192" t="n">
        <ns0:f>G74/60*'核算总览'!$B$3/(21.75*8)*1.5</ns0:f>
        <ns0:v>325.48902825670496</ns0:v>
      </ns0:c>
      <ns0:c r="J74" s="192"/>
      <ns0:c r="K74" s="192"/>
      <ns0:c r="L74" s="192"/>
      <ns0:c r="M74" s="191" t="str"/>
      <ns0:c r="N74" s="191" t="str">
        <ns0:v>/Users/a./Desktop/飞书考勤留存_2026-10-27/逐日原始打卡截图与汇总_2026-10-27/原始截图/2026-04-09_01_日历与上部.jpg</ns0:v>
      </ns0:c>
      <ns0:c r="O74" s="191" t="str">
        <ns0:v>/Users/a./Desktop/飞书考勤留存_2026-10-27/逐日原始打卡截图与汇总_2026-10-27/原始截图/2026-04-09_02_明细下部.jpg</ns0:v>
      </ns0:c>
      <ns0:c r="P74" s="215" t="n">
        <ns0:v>9.55</ns0:v>
      </ns0:c>
      <ns0:c r="Q74" s="230" t="n">
        <ns0:f>IF(P74&gt;=11,20%,IF(P74&gt;=10,10%,IF(P74&gt;=9,5%,0)))</ns0:f>
        <ns0:v>0.05</ns0:v>
      </ns0:c>
      <ns0:c r="R74" s="201" t="n">
        <ns0:f>IF(H74&gt;0,0,IF(P74&gt;=11,3,IF(P74&gt;=10,2,IF(P74&gt;=9,1,0))))</ns0:f>
        <ns0:v>1</ns0:v>
      </ns0:c>
      <ns0:c r="S74" s="201" t="n">
        <ns0:f>Q74/5%</ns0:f>
        <ns0:v>1</ns0:v>
      </ns0:c>
    </ns0:row>
    <ns0:row r="75" ht="24" customHeight="1">
      <ns0:c r="A75" s="191" t="str">
        <ns0:v>2026-04-10</ns0:v>
      </ns0:c>
      <ns0:c r="B75" s="191" t="str">
        <ns0:v>2026-04</ns0:v>
      </ns0:c>
      <ns0:c r="C75" s="191" t="str">
        <ns0:v>五</ns0:v>
      </ns0:c>
      <ns0:c r="D75" s="191" t="str">
        <ns0:v>工作日（含法定调班日）</ns0:v>
      </ns0:c>
      <ns0:c r="E75" s="191" t="str">
        <ns0:v>09:51</ns0:v>
      </ns0:c>
      <ns0:c r="F75" s="191" t="str">
        <ns0:v>19:45</ns0:v>
      </ns0:c>
      <ns0:c r="G75" s="214" t="n">
        <ns0:v>54</ns0:v>
      </ns0:c>
      <ns0:c r="H75" s="214" t="n">
        <ns0:v>0</ns0:v>
      </ns0:c>
      <ns0:c r="I75" s="192" t="n">
        <ns0:f>G75/60*'核算总览'!$B$3/(21.75*8)*1.5</ns0:f>
        <ns0:v>188.9936293103448</ns0:v>
      </ns0:c>
      <ns0:c r="J75" s="192"/>
      <ns0:c r="K75" s="192"/>
      <ns0:c r="L75" s="192"/>
      <ns0:c r="M75" s="191" t="str"/>
      <ns0:c r="N75" s="191" t="str">
        <ns0:v>/Users/a./Desktop/飞书考勤留存_2026-10-27/逐日原始打卡截图与汇总_2026-10-27/原始截图/2026-04-10_01_日历与上部.jpg</ns0:v>
      </ns0:c>
      <ns0:c r="O75" s="191" t="str">
        <ns0:v>/Users/a./Desktop/飞书考勤留存_2026-10-27/逐日原始打卡截图与汇总_2026-10-27/原始截图/2026-04-10_02_明细下部.jpg</ns0:v>
      </ns0:c>
      <ns0:c r="P75" s="215" t="n">
        <ns0:v>8.9</ns0:v>
      </ns0:c>
      <ns0:c r="Q75" s="230" t="n">
        <ns0:f>IF(P75&gt;=11,20%,IF(P75&gt;=10,10%,IF(P75&gt;=9,5%,0)))</ns0:f>
        <ns0:v>0</ns0:v>
      </ns0:c>
      <ns0:c r="R75" s="201" t="n">
        <ns0:f>IF(H75&gt;0,0,IF(P75&gt;=11,3,IF(P75&gt;=10,2,IF(P75&gt;=9,1,0))))</ns0:f>
        <ns0:v>0</ns0:v>
      </ns0:c>
      <ns0:c r="S75" s="201" t="n">
        <ns0:f>Q75/5%</ns0:f>
        <ns0:v>0</ns0:v>
      </ns0:c>
    </ns0:row>
    <ns0:row r="76" ht="24" customHeight="1">
      <ns0:c r="A76" s="191" t="str">
        <ns0:v>2026-04-13</ns0:v>
      </ns0:c>
      <ns0:c r="B76" s="191" t="str">
        <ns0:v>2026-04</ns0:v>
      </ns0:c>
      <ns0:c r="C76" s="191" t="str">
        <ns0:v>一</ns0:v>
      </ns0:c>
      <ns0:c r="D76" s="191" t="str">
        <ns0:v>工作日（含法定调班日）</ns0:v>
      </ns0:c>
      <ns0:c r="E76" s="191" t="str">
        <ns0:v>09:43</ns0:v>
      </ns0:c>
      <ns0:c r="F76" s="191" t="str">
        <ns0:v>21:50</ns0:v>
      </ns0:c>
      <ns0:c r="G76" s="214" t="n">
        <ns0:v>187</ns0:v>
      </ns0:c>
      <ns0:c r="H76" s="214" t="n">
        <ns0:v>0</ns0:v>
      </ns0:c>
      <ns0:c r="I76" s="192" t="n">
        <ns0:f>G76/60*'核算总览'!$B$3/(21.75*8)*1.5</ns0:f>
        <ns0:v>654.4779385376755</ns0:v>
      </ns0:c>
      <ns0:c r="J76" s="192"/>
      <ns0:c r="K76" s="192"/>
      <ns0:c r="L76" s="192"/>
      <ns0:c r="M76" s="191" t="str"/>
      <ns0:c r="N76" s="191" t="str">
        <ns0:v>/Users/a./Desktop/飞书考勤留存_2026-10-27/逐日原始打卡截图与汇总_2026-10-27/原始截图/2026-04-13_01_日历与上部.jpg</ns0:v>
      </ns0:c>
      <ns0:c r="O76" s="191" t="str">
        <ns0:v>/Users/a./Desktop/飞书考勤留存_2026-10-27/逐日原始打卡截图与汇总_2026-10-27/原始截图/2026-04-13_02_明细下部.jpg</ns0:v>
      </ns0:c>
      <ns0:c r="P76" s="215" t="n">
        <ns0:v>11.116666666666667</ns0:v>
      </ns0:c>
      <ns0:c r="Q76" s="230" t="n">
        <ns0:f>IF(P76&gt;=11,20%,IF(P76&gt;=10,10%,IF(P76&gt;=9,5%,0)))</ns0:f>
        <ns0:v>0.2</ns0:v>
      </ns0:c>
      <ns0:c r="R76" s="201" t="n">
        <ns0:f>IF(H76&gt;0,0,IF(P76&gt;=11,3,IF(P76&gt;=10,2,IF(P76&gt;=9,1,0))))</ns0:f>
        <ns0:v>3</ns0:v>
      </ns0:c>
      <ns0:c r="S76" s="201" t="n">
        <ns0:f>Q76/5%</ns0:f>
        <ns0:v>4</ns0:v>
      </ns0:c>
    </ns0:row>
    <ns0:row r="77" ht="24" customHeight="1">
      <ns0:c r="A77" s="191" t="str">
        <ns0:v>2026-04-14</ns0:v>
      </ns0:c>
      <ns0:c r="B77" s="191" t="str">
        <ns0:v>2026-04</ns0:v>
      </ns0:c>
      <ns0:c r="C77" s="191" t="str">
        <ns0:v>二</ns0:v>
      </ns0:c>
      <ns0:c r="D77" s="191" t="str">
        <ns0:v>工作日（含法定调班日）</ns0:v>
      </ns0:c>
      <ns0:c r="E77" s="191" t="str">
        <ns0:v>09:59</ns0:v>
      </ns0:c>
      <ns0:c r="F77" s="191" t="str">
        <ns0:v>22:02</ns0:v>
      </ns0:c>
      <ns0:c r="G77" s="214" t="n">
        <ns0:v>183</ns0:v>
      </ns0:c>
      <ns0:c r="H77" s="214" t="n">
        <ns0:v>0</ns0:v>
      </ns0:c>
      <ns0:c r="I77" s="192" t="n">
        <ns0:f>G77/60*'核算总览'!$B$3/(21.75*8)*1.5</ns0:f>
        <ns0:v>640.4784104406131</ns0:v>
      </ns0:c>
      <ns0:c r="J77" s="192"/>
      <ns0:c r="K77" s="192"/>
      <ns0:c r="L77" s="192"/>
      <ns0:c r="M77" s="191" t="str"/>
      <ns0:c r="N77" s="191" t="str">
        <ns0:v>/Users/a./Desktop/飞书考勤留存_2026-10-27/逐日原始打卡截图与汇总_2026-10-27/原始截图/2026-04-14_01_日历与上部.jpg</ns0:v>
      </ns0:c>
      <ns0:c r="O77" s="191" t="str">
        <ns0:v>/Users/a./Desktop/飞书考勤留存_2026-10-27/逐日原始打卡截图与汇总_2026-10-27/原始截图/2026-04-14_02_明细下部.jpg</ns0:v>
      </ns0:c>
      <ns0:c r="P77" s="215" t="n">
        <ns0:v>11.05</ns0:v>
      </ns0:c>
      <ns0:c r="Q77" s="230" t="n">
        <ns0:f>IF(P77&gt;=11,20%,IF(P77&gt;=10,10%,IF(P77&gt;=9,5%,0)))</ns0:f>
        <ns0:v>0.2</ns0:v>
      </ns0:c>
      <ns0:c r="R77" s="201" t="n">
        <ns0:f>IF(H77&gt;0,0,IF(P77&gt;=11,3,IF(P77&gt;=10,2,IF(P77&gt;=9,1,0))))</ns0:f>
        <ns0:v>3</ns0:v>
      </ns0:c>
      <ns0:c r="S77" s="201" t="n">
        <ns0:f>Q77/5%</ns0:f>
        <ns0:v>4</ns0:v>
      </ns0:c>
    </ns0:row>
    <ns0:row r="78" ht="24" customHeight="1">
      <ns0:c r="A78" s="191" t="str">
        <ns0:v>2026-04-15</ns0:v>
      </ns0:c>
      <ns0:c r="B78" s="191" t="str">
        <ns0:v>2026-04</ns0:v>
      </ns0:c>
      <ns0:c r="C78" s="191" t="str">
        <ns0:v>三</ns0:v>
      </ns0:c>
      <ns0:c r="D78" s="191" t="str">
        <ns0:v>工作日（含法定调班日）</ns0:v>
      </ns0:c>
      <ns0:c r="E78" s="191" t="str">
        <ns0:v>09:52</ns0:v>
      </ns0:c>
      <ns0:c r="F78" s="191" t="str">
        <ns0:v>20:18</ns0:v>
      </ns0:c>
      <ns0:c r="G78" s="214" t="n">
        <ns0:v>86</ns0:v>
      </ns0:c>
      <ns0:c r="H78" s="214" t="n">
        <ns0:v>0</ns0:v>
      </ns0:c>
      <ns0:c r="I78" s="192" t="n">
        <ns0:f>G78/60*'核算总览'!$B$3/(21.75*8)*1.5</ns0:f>
        <ns0:v>300.9898540868454</ns0:v>
      </ns0:c>
      <ns0:c r="J78" s="192"/>
      <ns0:c r="K78" s="192"/>
      <ns0:c r="L78" s="192"/>
      <ns0:c r="M78" s="191" t="str"/>
      <ns0:c r="N78" s="191" t="str">
        <ns0:v>/Users/a./Desktop/飞书考勤留存_2026-10-27/逐日原始打卡截图与汇总_2026-10-27/原始截图/2026-04-15_01_日历与上部.jpg</ns0:v>
      </ns0:c>
      <ns0:c r="O78" s="191" t="str">
        <ns0:v>/Users/a./Desktop/飞书考勤留存_2026-10-27/逐日原始打卡截图与汇总_2026-10-27/原始截图/2026-04-15_02_明细下部.jpg</ns0:v>
      </ns0:c>
      <ns0:c r="P78" s="215" t="n">
        <ns0:v>9.433333333333334</ns0:v>
      </ns0:c>
      <ns0:c r="Q78" s="230" t="n">
        <ns0:f>IF(P78&gt;=11,20%,IF(P78&gt;=10,10%,IF(P78&gt;=9,5%,0)))</ns0:f>
        <ns0:v>0.05</ns0:v>
      </ns0:c>
      <ns0:c r="R78" s="201" t="n">
        <ns0:f>IF(H78&gt;0,0,IF(P78&gt;=11,3,IF(P78&gt;=10,2,IF(P78&gt;=9,1,0))))</ns0:f>
        <ns0:v>1</ns0:v>
      </ns0:c>
      <ns0:c r="S78" s="201" t="n">
        <ns0:f>Q78/5%</ns0:f>
        <ns0:v>1</ns0:v>
      </ns0:c>
    </ns0:row>
    <ns0:row r="79" ht="24" customHeight="1">
      <ns0:c r="A79" s="191" t="str">
        <ns0:v>2026-04-16</ns0:v>
      </ns0:c>
      <ns0:c r="B79" s="191" t="str">
        <ns0:v>2026-04</ns0:v>
      </ns0:c>
      <ns0:c r="C79" s="191" t="str">
        <ns0:v>四</ns0:v>
      </ns0:c>
      <ns0:c r="D79" s="191" t="str">
        <ns0:v>工作日（含法定调班日）</ns0:v>
      </ns0:c>
      <ns0:c r="E79" s="191" t="str">
        <ns0:v>09:58</ns0:v>
      </ns0:c>
      <ns0:c r="F79" s="191" t="str">
        <ns0:v>20:00</ns0:v>
      </ns0:c>
      <ns0:c r="G79" s="214" t="n">
        <ns0:v>62</ns0:v>
      </ns0:c>
      <ns0:c r="H79" s="214" t="n">
        <ns0:v>0</ns0:v>
      </ns0:c>
      <ns0:c r="I79" s="192" t="n">
        <ns0:f>G79/60*'核算总览'!$B$3/(21.75*8)*1.5</ns0:f>
        <ns0:v>216.99268550447002</ns0:v>
      </ns0:c>
      <ns0:c r="J79" s="192"/>
      <ns0:c r="K79" s="192"/>
      <ns0:c r="L79" s="192"/>
      <ns0:c r="M79" s="191" t="str"/>
      <ns0:c r="N79" s="191" t="str">
        <ns0:v>/Users/a./Desktop/飞书考勤留存_2026-10-27/逐日原始打卡截图与汇总_2026-10-27/原始截图/2026-04-16_01_日历与上部.jpg</ns0:v>
      </ns0:c>
      <ns0:c r="O79" s="191" t="str">
        <ns0:v>/Users/a./Desktop/飞书考勤留存_2026-10-27/逐日原始打卡截图与汇总_2026-10-27/原始截图/2026-04-16_02_明细下部.jpg</ns0:v>
      </ns0:c>
      <ns0:c r="P79" s="215" t="n">
        <ns0:v>9.033333333333333</ns0:v>
      </ns0:c>
      <ns0:c r="Q79" s="230" t="n">
        <ns0:f>IF(P79&gt;=11,20%,IF(P79&gt;=10,10%,IF(P79&gt;=9,5%,0)))</ns0:f>
        <ns0:v>0.05</ns0:v>
      </ns0:c>
      <ns0:c r="R79" s="201" t="n">
        <ns0:f>IF(H79&gt;0,0,IF(P79&gt;=11,3,IF(P79&gt;=10,2,IF(P79&gt;=9,1,0))))</ns0:f>
        <ns0:v>1</ns0:v>
      </ns0:c>
      <ns0:c r="S79" s="201" t="n">
        <ns0:f>Q79/5%</ns0:f>
        <ns0:v>1</ns0:v>
      </ns0:c>
    </ns0:row>
    <ns0:row r="80" ht="24" customHeight="1">
      <ns0:c r="A80" s="191" t="str">
        <ns0:v>2026-04-17</ns0:v>
      </ns0:c>
      <ns0:c r="B80" s="191" t="str">
        <ns0:v>2026-04</ns0:v>
      </ns0:c>
      <ns0:c r="C80" s="191" t="str">
        <ns0:v>五</ns0:v>
      </ns0:c>
      <ns0:c r="D80" s="191" t="str">
        <ns0:v>工作日（含法定调班日）</ns0:v>
      </ns0:c>
      <ns0:c r="E80" s="191" t="str">
        <ns0:v>09:56</ns0:v>
      </ns0:c>
      <ns0:c r="F80" s="191" t="str">
        <ns0:v>19:11</ns0:v>
      </ns0:c>
      <ns0:c r="G80" s="214" t="n">
        <ns0:v>15</ns0:v>
      </ns0:c>
      <ns0:c r="H80" s="214" t="n">
        <ns0:v>0</ns0:v>
      </ns0:c>
      <ns0:c r="I80" s="192" t="n">
        <ns0:f>G80/60*'核算总览'!$B$3/(21.75*8)*1.5</ns0:f>
        <ns0:v>52.498230363984675</ns0:v>
      </ns0:c>
      <ns0:c r="J80" s="192"/>
      <ns0:c r="K80" s="192"/>
      <ns0:c r="L80" s="192"/>
      <ns0:c r="M80" s="191" t="str"/>
      <ns0:c r="N80" s="191" t="str">
        <ns0:v>/Users/a./Desktop/飞书考勤留存_2026-10-27/逐日原始打卡截图与汇总_2026-10-27/原始截图/2026-04-17_01_日历与上部.jpg</ns0:v>
      </ns0:c>
      <ns0:c r="O80" s="191" t="str">
        <ns0:v>/Users/a./Desktop/飞书考勤留存_2026-10-27/逐日原始打卡截图与汇总_2026-10-27/原始截图/2026-04-17_02_明细下部.jpg</ns0:v>
      </ns0:c>
      <ns0:c r="P80" s="215" t="n">
        <ns0:v>8.25</ns0:v>
      </ns0:c>
      <ns0:c r="Q80" s="230" t="n">
        <ns0:f>IF(P80&gt;=11,20%,IF(P80&gt;=10,10%,IF(P80&gt;=9,5%,0)))</ns0:f>
        <ns0:v>0</ns0:v>
      </ns0:c>
      <ns0:c r="R80" s="201" t="n">
        <ns0:f>IF(H80&gt;0,0,IF(P80&gt;=11,3,IF(P80&gt;=10,2,IF(P80&gt;=9,1,0))))</ns0:f>
        <ns0:v>0</ns0:v>
      </ns0:c>
      <ns0:c r="S80" s="201" t="n">
        <ns0:f>Q80/5%</ns0:f>
        <ns0:v>0</ns0:v>
      </ns0:c>
    </ns0:row>
    <ns0:row r="81" ht="24" customHeight="1">
      <ns0:c r="A81" s="191" t="str">
        <ns0:v>2026-04-19</ns0:v>
      </ns0:c>
      <ns0:c r="B81" s="191" t="str">
        <ns0:v>2026-04</ns0:v>
      </ns0:c>
      <ns0:c r="C81" s="191" t="str">
        <ns0:v>日</ns0:v>
      </ns0:c>
      <ns0:c r="D81" s="191" t="str">
        <ns0:v>休息日或假期</ns0:v>
      </ns0:c>
      <ns0:c r="E81" s="191" t="str">
        <ns0:v>09:54</ns0:v>
      </ns0:c>
      <ns0:c r="F81" s="191" t="str">
        <ns0:v>20:00</ns0:v>
      </ns0:c>
      <ns0:c r="G81" s="214" t="n">
        <ns0:v>0</ns0:v>
      </ns0:c>
      <ns0:c r="H81" s="214" t="n">
        <ns0:v>546</ns0:v>
      </ns0:c>
      <ns0:c r="I81" s="192" t="n">
        <ns0:f>G81/60*'核算总览'!$B$3/(21.75*8)*1.5</ns0:f>
        <ns0:v>0</ns0:v>
      </ns0:c>
      <ns0:c r="J81" s="192"/>
      <ns0:c r="K81" s="192"/>
      <ns0:c r="L81" s="192"/>
      <ns0:c r="M81" s="191" t="str"/>
      <ns0:c r="N81" s="191" t="str">
        <ns0:v>/Users/a./Desktop/飞书考勤留存_2026-10-27/逐日原始打卡截图与汇总_2026-10-27/原始截图/2026-04-19_01_日历与上部.jpg</ns0:v>
      </ns0:c>
      <ns0:c r="O81" s="191" t="str">
        <ns0:v>/Users/a./Desktop/飞书考勤留存_2026-10-27/逐日原始打卡截图与汇总_2026-10-27/原始截图/2026-04-19_02_明细下部.jpg</ns0:v>
      </ns0:c>
      <ns0:c r="P81" s="215" t="n">
        <ns0:v>9.1</ns0:v>
      </ns0:c>
      <ns0:c r="Q81" s="230" t="n">
        <ns0:f>IF(P81&gt;=11,20%,IF(P81&gt;=10,10%,IF(P81&gt;=9,5%,0)))</ns0:f>
        <ns0:v>0.05</ns0:v>
      </ns0:c>
      <ns0:c r="R81" s="201" t="n">
        <ns0:f>IF(H81&gt;0,0,IF(P81&gt;=11,3,IF(P81&gt;=10,2,IF(P81&gt;=9,1,0))))</ns0:f>
        <ns0:v>0</ns0:v>
      </ns0:c>
      <ns0:c r="S81" s="201" t="n">
        <ns0:f>Q81/5%</ns0:f>
        <ns0:v>1</ns0:v>
      </ns0:c>
    </ns0:row>
    <ns0:row r="82" ht="24" customHeight="1">
      <ns0:c r="A82" s="191" t="str">
        <ns0:v>2026-04-20</ns0:v>
      </ns0:c>
      <ns0:c r="B82" s="191" t="str">
        <ns0:v>2026-04</ns0:v>
      </ns0:c>
      <ns0:c r="C82" s="191" t="str">
        <ns0:v>一</ns0:v>
      </ns0:c>
      <ns0:c r="D82" s="191" t="str">
        <ns0:v>工作日（含法定调班日）</ns0:v>
      </ns0:c>
      <ns0:c r="E82" s="191" t="str">
        <ns0:v>09:49</ns0:v>
      </ns0:c>
      <ns0:c r="F82" s="191" t="str">
        <ns0:v>19:51</ns0:v>
      </ns0:c>
      <ns0:c r="G82" s="214" t="n">
        <ns0:v>62</ns0:v>
      </ns0:c>
      <ns0:c r="H82" s="214" t="n">
        <ns0:v>0</ns0:v>
      </ns0:c>
      <ns0:c r="I82" s="192" t="n">
        <ns0:f>G82/60*'核算总览'!$B$3/(21.75*8)*1.5</ns0:f>
        <ns0:v>216.99268550447002</ns0:v>
      </ns0:c>
      <ns0:c r="J82" s="192"/>
      <ns0:c r="K82" s="192"/>
      <ns0:c r="L82" s="192"/>
      <ns0:c r="M82" s="191" t="str"/>
      <ns0:c r="N82" s="191" t="str">
        <ns0:v>/Users/a./Desktop/飞书考勤留存_2026-10-27/逐日原始打卡截图与汇总_2026-10-27/原始截图/2026-04-20_01_日历与上部.jpg</ns0:v>
      </ns0:c>
      <ns0:c r="O82" s="191" t="str">
        <ns0:v>/Users/a./Desktop/飞书考勤留存_2026-10-27/逐日原始打卡截图与汇总_2026-10-27/原始截图/2026-04-20_02_明细下部.jpg</ns0:v>
      </ns0:c>
      <ns0:c r="P82" s="215" t="n">
        <ns0:v>9.033333333333333</ns0:v>
      </ns0:c>
      <ns0:c r="Q82" s="230" t="n">
        <ns0:f>IF(P82&gt;=11,20%,IF(P82&gt;=10,10%,IF(P82&gt;=9,5%,0)))</ns0:f>
        <ns0:v>0.05</ns0:v>
      </ns0:c>
      <ns0:c r="R82" s="201" t="n">
        <ns0:f>IF(H82&gt;0,0,IF(P82&gt;=11,3,IF(P82&gt;=10,2,IF(P82&gt;=9,1,0))))</ns0:f>
        <ns0:v>1</ns0:v>
      </ns0:c>
      <ns0:c r="S82" s="201" t="n">
        <ns0:f>Q82/5%</ns0:f>
        <ns0:v>1</ns0:v>
      </ns0:c>
    </ns0:row>
    <ns0:row r="83" ht="24" customHeight="1">
      <ns0:c r="A83" s="191" t="str">
        <ns0:v>2026-04-21</ns0:v>
      </ns0:c>
      <ns0:c r="B83" s="191" t="str">
        <ns0:v>2026-04</ns0:v>
      </ns0:c>
      <ns0:c r="C83" s="191" t="str">
        <ns0:v>二</ns0:v>
      </ns0:c>
      <ns0:c r="D83" s="191" t="str">
        <ns0:v>工作日（含法定调班日）</ns0:v>
      </ns0:c>
      <ns0:c r="E83" s="191" t="str">
        <ns0:v>10:00</ns0:v>
      </ns0:c>
      <ns0:c r="F83" s="191" t="str">
        <ns0:v>20:14</ns0:v>
      </ns0:c>
      <ns0:c r="G83" s="214" t="n">
        <ns0:v>74</ns0:v>
      </ns0:c>
      <ns0:c r="H83" s="214" t="n">
        <ns0:v>0</ns0:v>
      </ns0:c>
      <ns0:c r="I83" s="192" t="n">
        <ns0:f>G83/60*'核算总览'!$B$3/(21.75*8)*1.5</ns0:f>
        <ns0:v>258.99126979565773</ns0:v>
      </ns0:c>
      <ns0:c r="J83" s="192"/>
      <ns0:c r="K83" s="192"/>
      <ns0:c r="L83" s="192"/>
      <ns0:c r="M83" s="191" t="str"/>
      <ns0:c r="N83" s="191" t="str">
        <ns0:v>/Users/a./Desktop/飞书考勤留存_2026-10-27/逐日原始打卡截图与汇总_2026-10-27/原始截图/2026-04-21_01_日历与上部.jpg</ns0:v>
      </ns0:c>
      <ns0:c r="O83" s="191" t="str">
        <ns0:v>/Users/a./Desktop/飞书考勤留存_2026-10-27/逐日原始打卡截图与汇总_2026-10-27/原始截图/2026-04-21_02_明细下部.jpg</ns0:v>
      </ns0:c>
      <ns0:c r="P83" s="215" t="n">
        <ns0:v>9.233333333333333</ns0:v>
      </ns0:c>
      <ns0:c r="Q83" s="230" t="n">
        <ns0:f>IF(P83&gt;=11,20%,IF(P83&gt;=10,10%,IF(P83&gt;=9,5%,0)))</ns0:f>
        <ns0:v>0.05</ns0:v>
      </ns0:c>
      <ns0:c r="R83" s="201" t="n">
        <ns0:f>IF(H83&gt;0,0,IF(P83&gt;=11,3,IF(P83&gt;=10,2,IF(P83&gt;=9,1,0))))</ns0:f>
        <ns0:v>1</ns0:v>
      </ns0:c>
      <ns0:c r="S83" s="201" t="n">
        <ns0:f>Q83/5%</ns0:f>
        <ns0:v>1</ns0:v>
      </ns0:c>
    </ns0:row>
    <ns0:row r="84" ht="24" customHeight="1">
      <ns0:c r="A84" s="191" t="str">
        <ns0:v>2026-04-22</ns0:v>
      </ns0:c>
      <ns0:c r="B84" s="191" t="str">
        <ns0:v>2026-04</ns0:v>
      </ns0:c>
      <ns0:c r="C84" s="191" t="str">
        <ns0:v>三</ns0:v>
      </ns0:c>
      <ns0:c r="D84" s="191" t="str">
        <ns0:v>工作日（含法定调班日）</ns0:v>
      </ns0:c>
      <ns0:c r="E84" s="191" t="str">
        <ns0:v>09:56</ns0:v>
      </ns0:c>
      <ns0:c r="F84" s="191" t="str">
        <ns0:v>20:59</ns0:v>
      </ns0:c>
      <ns0:c r="G84" s="214" t="n">
        <ns0:v>123</ns0:v>
      </ns0:c>
      <ns0:c r="H84" s="214" t="n">
        <ns0:v>0</ns0:v>
      </ns0:c>
      <ns0:c r="I84" s="192" t="n">
        <ns0:f>G84/60*'核算总览'!$B$3/(21.75*8)*1.5</ns0:f>
        <ns0:v>430.48548898467436</ns0:v>
      </ns0:c>
      <ns0:c r="J84" s="192"/>
      <ns0:c r="K84" s="192"/>
      <ns0:c r="L84" s="192"/>
      <ns0:c r="M84" s="191" t="str"/>
      <ns0:c r="N84" s="191" t="str">
        <ns0:v>/Users/a./Desktop/飞书考勤留存_2026-10-27/逐日原始打卡截图与汇总_2026-10-27/原始截图/2026-04-22_01_日历与上部.jpg</ns0:v>
      </ns0:c>
      <ns0:c r="O84" s="191" t="str">
        <ns0:v>/Users/a./Desktop/飞书考勤留存_2026-10-27/逐日原始打卡截图与汇总_2026-10-27/原始截图/2026-04-22_02_明细下部.jpg</ns0:v>
      </ns0:c>
      <ns0:c r="P84" s="215" t="n">
        <ns0:v>10.05</ns0:v>
      </ns0:c>
      <ns0:c r="Q84" s="230" t="n">
        <ns0:f>IF(P84&gt;=11,20%,IF(P84&gt;=10,10%,IF(P84&gt;=9,5%,0)))</ns0:f>
        <ns0:v>0.1</ns0:v>
      </ns0:c>
      <ns0:c r="R84" s="201" t="n">
        <ns0:f>IF(H84&gt;0,0,IF(P84&gt;=11,3,IF(P84&gt;=10,2,IF(P84&gt;=9,1,0))))</ns0:f>
        <ns0:v>2</ns0:v>
      </ns0:c>
      <ns0:c r="S84" s="201" t="n">
        <ns0:f>Q84/5%</ns0:f>
        <ns0:v>2</ns0:v>
      </ns0:c>
    </ns0:row>
    <ns0:row r="85" ht="24" customHeight="1">
      <ns0:c r="A85" s="191" t="str">
        <ns0:v>2026-04-23</ns0:v>
      </ns0:c>
      <ns0:c r="B85" s="191" t="str">
        <ns0:v>2026-04</ns0:v>
      </ns0:c>
      <ns0:c r="C85" s="191" t="str">
        <ns0:v>四</ns0:v>
      </ns0:c>
      <ns0:c r="D85" s="191" t="str">
        <ns0:v>工作日（含法定调班日）</ns0:v>
      </ns0:c>
      <ns0:c r="E85" s="191" t="str">
        <ns0:v>09:57</ns0:v>
      </ns0:c>
      <ns0:c r="F85" s="191" t="str">
        <ns0:v>20:58</ns0:v>
      </ns0:c>
      <ns0:c r="G85" s="214" t="n">
        <ns0:v>121</ns0:v>
      </ns0:c>
      <ns0:c r="H85" s="214" t="n">
        <ns0:v>0</ns0:v>
      </ns0:c>
      <ns0:c r="I85" s="192" t="n">
        <ns0:f>G85/60*'核算总览'!$B$3/(21.75*8)*1.5</ns0:f>
        <ns0:v>423.485724936143</ns0:v>
      </ns0:c>
      <ns0:c r="J85" s="192"/>
      <ns0:c r="K85" s="192"/>
      <ns0:c r="L85" s="192"/>
      <ns0:c r="M85" s="191" t="str"/>
      <ns0:c r="N85" s="191" t="str">
        <ns0:v>/Users/a./Desktop/飞书考勤留存_2026-10-27/逐日原始打卡截图与汇总_2026-10-27/原始截图/2026-04-23_01_日历与上部.jpg</ns0:v>
      </ns0:c>
      <ns0:c r="O85" s="191" t="str">
        <ns0:v>/Users/a./Desktop/飞书考勤留存_2026-10-27/逐日原始打卡截图与汇总_2026-10-27/原始截图/2026-04-23_02_明细下部.jpg</ns0:v>
      </ns0:c>
      <ns0:c r="P85" s="215" t="n">
        <ns0:v>10.016666666666667</ns0:v>
      </ns0:c>
      <ns0:c r="Q85" s="230" t="n">
        <ns0:f>IF(P85&gt;=11,20%,IF(P85&gt;=10,10%,IF(P85&gt;=9,5%,0)))</ns0:f>
        <ns0:v>0.1</ns0:v>
      </ns0:c>
      <ns0:c r="R85" s="201" t="n">
        <ns0:f>IF(H85&gt;0,0,IF(P85&gt;=11,3,IF(P85&gt;=10,2,IF(P85&gt;=9,1,0))))</ns0:f>
        <ns0:v>2</ns0:v>
      </ns0:c>
      <ns0:c r="S85" s="201" t="n">
        <ns0:f>Q85/5%</ns0:f>
        <ns0:v>2</ns0:v>
      </ns0:c>
    </ns0:row>
    <ns0:row r="86" ht="24" customHeight="1">
      <ns0:c r="A86" s="191" t="str">
        <ns0:v>2026-04-24</ns0:v>
      </ns0:c>
      <ns0:c r="B86" s="191" t="str">
        <ns0:v>2026-04</ns0:v>
      </ns0:c>
      <ns0:c r="C86" s="191" t="str">
        <ns0:v>五</ns0:v>
      </ns0:c>
      <ns0:c r="D86" s="191" t="str">
        <ns0:v>工作日（含法定调班日）</ns0:v>
      </ns0:c>
      <ns0:c r="E86" s="191" t="str">
        <ns0:v>09:58</ns0:v>
      </ns0:c>
      <ns0:c r="F86" s="191" t="str">
        <ns0:v>19:14</ns0:v>
      </ns0:c>
      <ns0:c r="G86" s="214" t="n">
        <ns0:v>16</ns0:v>
      </ns0:c>
      <ns0:c r="H86" s="214" t="n">
        <ns0:v>0</ns0:v>
      </ns0:c>
      <ns0:c r="I86" s="192" t="n">
        <ns0:f>G86/60*'核算总览'!$B$3/(21.75*8)*1.5</ns0:f>
        <ns0:v>55.99811238825032</ns0:v>
      </ns0:c>
      <ns0:c r="J86" s="192"/>
      <ns0:c r="K86" s="192"/>
      <ns0:c r="L86" s="192"/>
      <ns0:c r="M86" s="191" t="str"/>
      <ns0:c r="N86" s="191" t="str">
        <ns0:v>/Users/a./Desktop/飞书考勤留存_2026-10-27/逐日原始打卡截图与汇总_2026-10-27/原始截图/2026-04-24_01_日历与上部.jpg</ns0:v>
      </ns0:c>
      <ns0:c r="O86" s="191" t="str">
        <ns0:v>/Users/a./Desktop/飞书考勤留存_2026-10-27/逐日原始打卡截图与汇总_2026-10-27/原始截图/2026-04-24_02_明细下部.jpg</ns0:v>
      </ns0:c>
      <ns0:c r="P86" s="215" t="n">
        <ns0:v>8.266666666666667</ns0:v>
      </ns0:c>
      <ns0:c r="Q86" s="230" t="n">
        <ns0:f>IF(P86&gt;=11,20%,IF(P86&gt;=10,10%,IF(P86&gt;=9,5%,0)))</ns0:f>
        <ns0:v>0</ns0:v>
      </ns0:c>
      <ns0:c r="R86" s="201" t="n">
        <ns0:f>IF(H86&gt;0,0,IF(P86&gt;=11,3,IF(P86&gt;=10,2,IF(P86&gt;=9,1,0))))</ns0:f>
        <ns0:v>0</ns0:v>
      </ns0:c>
      <ns0:c r="S86" s="201" t="n">
        <ns0:f>Q86/5%</ns0:f>
        <ns0:v>0</ns0:v>
      </ns0:c>
    </ns0:row>
    <ns0:row r="87" ht="24" customHeight="1">
      <ns0:c r="A87" s="191" t="str">
        <ns0:v>2026-04-27</ns0:v>
      </ns0:c>
      <ns0:c r="B87" s="191" t="str">
        <ns0:v>2026-04</ns0:v>
      </ns0:c>
      <ns0:c r="C87" s="191" t="str">
        <ns0:v>一</ns0:v>
      </ns0:c>
      <ns0:c r="D87" s="191" t="str">
        <ns0:v>工作日（含法定调班日）</ns0:v>
      </ns0:c>
      <ns0:c r="E87" s="191" t="str">
        <ns0:v>09:49</ns0:v>
      </ns0:c>
      <ns0:c r="F87" s="191" t="str">
        <ns0:v>20:00</ns0:v>
      </ns0:c>
      <ns0:c r="G87" s="214" t="n">
        <ns0:v>71</ns0:v>
      </ns0:c>
      <ns0:c r="H87" s="214" t="n">
        <ns0:v>0</ns0:v>
      </ns0:c>
      <ns0:c r="I87" s="192" t="n">
        <ns0:f>G87/60*'核算总览'!$B$3/(21.75*8)*1.5</ns0:f>
        <ns0:v>248.49162372286077</ns0:v>
      </ns0:c>
      <ns0:c r="J87" s="192"/>
      <ns0:c r="K87" s="192"/>
      <ns0:c r="L87" s="192"/>
      <ns0:c r="M87" s="191" t="str"/>
      <ns0:c r="N87" s="191" t="str">
        <ns0:v>/Users/a./Desktop/飞书考勤留存_2026-10-27/逐日原始打卡截图与汇总_2026-10-27/原始截图/2026-04-27_01_日历与上部.jpg</ns0:v>
      </ns0:c>
      <ns0:c r="O87" s="191" t="str">
        <ns0:v>/Users/a./Desktop/飞书考勤留存_2026-10-27/逐日原始打卡截图与汇总_2026-10-27/原始截图/2026-04-27_02_明细下部.jpg</ns0:v>
      </ns0:c>
      <ns0:c r="P87" s="215" t="n">
        <ns0:v>9.183333333333334</ns0:v>
      </ns0:c>
      <ns0:c r="Q87" s="230" t="n">
        <ns0:f>IF(P87&gt;=11,20%,IF(P87&gt;=10,10%,IF(P87&gt;=9,5%,0)))</ns0:f>
        <ns0:v>0.05</ns0:v>
      </ns0:c>
      <ns0:c r="R87" s="201" t="n">
        <ns0:f>IF(H87&gt;0,0,IF(P87&gt;=11,3,IF(P87&gt;=10,2,IF(P87&gt;=9,1,0))))</ns0:f>
        <ns0:v>1</ns0:v>
      </ns0:c>
      <ns0:c r="S87" s="201" t="n">
        <ns0:f>Q87/5%</ns0:f>
        <ns0:v>1</ns0:v>
      </ns0:c>
    </ns0:row>
    <ns0:row r="88" ht="24" customHeight="1">
      <ns0:c r="A88" s="191" t="str">
        <ns0:v>2026-04-28</ns0:v>
      </ns0:c>
      <ns0:c r="B88" s="191" t="str">
        <ns0:v>2026-04</ns0:v>
      </ns0:c>
      <ns0:c r="C88" s="191" t="str">
        <ns0:v>二</ns0:v>
      </ns0:c>
      <ns0:c r="D88" s="191" t="str">
        <ns0:v>工作日（含法定调班日）</ns0:v>
      </ns0:c>
      <ns0:c r="E88" s="191" t="str">
        <ns0:v>09:50</ns0:v>
      </ns0:c>
      <ns0:c r="F88" s="191" t="str">
        <ns0:v>19:53</ns0:v>
      </ns0:c>
      <ns0:c r="G88" s="214" t="n">
        <ns0:v>63</ns0:v>
      </ns0:c>
      <ns0:c r="H88" s="214" t="n">
        <ns0:v>0</ns0:v>
      </ns0:c>
      <ns0:c r="I88" s="192" t="n">
        <ns0:f>G88/60*'核算总览'!$B$3/(21.75*8)*1.5</ns0:f>
        <ns0:v>220.49256752873563</ns0:v>
      </ns0:c>
      <ns0:c r="J88" s="192"/>
      <ns0:c r="K88" s="192"/>
      <ns0:c r="L88" s="192"/>
      <ns0:c r="M88" s="191" t="str"/>
      <ns0:c r="N88" s="191" t="str">
        <ns0:v>/Users/a./Desktop/飞书考勤留存_2026-10-27/逐日原始打卡截图与汇总_2026-10-27/原始截图/2026-04-28_01_日历与上部.jpg</ns0:v>
      </ns0:c>
      <ns0:c r="O88" s="191" t="str">
        <ns0:v>/Users/a./Desktop/飞书考勤留存_2026-10-27/逐日原始打卡截图与汇总_2026-10-27/原始截图/2026-04-28_02_明细下部.jpg</ns0:v>
      </ns0:c>
      <ns0:c r="P88" s="215" t="n">
        <ns0:v>9.05</ns0:v>
      </ns0:c>
      <ns0:c r="Q88" s="230" t="n">
        <ns0:f>IF(P88&gt;=11,20%,IF(P88&gt;=10,10%,IF(P88&gt;=9,5%,0)))</ns0:f>
        <ns0:v>0.05</ns0:v>
      </ns0:c>
      <ns0:c r="R88" s="201" t="n">
        <ns0:f>IF(H88&gt;0,0,IF(P88&gt;=11,3,IF(P88&gt;=10,2,IF(P88&gt;=9,1,0))))</ns0:f>
        <ns0:v>1</ns0:v>
      </ns0:c>
      <ns0:c r="S88" s="201" t="n">
        <ns0:f>Q88/5%</ns0:f>
        <ns0:v>1</ns0:v>
      </ns0:c>
    </ns0:row>
    <ns0:row r="89" ht="24" customHeight="1">
      <ns0:c r="A89" s="191" t="str">
        <ns0:v>2026-04-29</ns0:v>
      </ns0:c>
      <ns0:c r="B89" s="191" t="str">
        <ns0:v>2026-04</ns0:v>
      </ns0:c>
      <ns0:c r="C89" s="191" t="str">
        <ns0:v>三</ns0:v>
      </ns0:c>
      <ns0:c r="D89" s="191" t="str">
        <ns0:v>工作日（含法定调班日）</ns0:v>
      </ns0:c>
      <ns0:c r="E89" s="191" t="str">
        <ns0:v>09:57</ns0:v>
      </ns0:c>
      <ns0:c r="F89" s="191" t="str">
        <ns0:v>19:59</ns0:v>
      </ns0:c>
      <ns0:c r="G89" s="214" t="n">
        <ns0:v>62</ns0:v>
      </ns0:c>
      <ns0:c r="H89" s="214" t="n">
        <ns0:v>0</ns0:v>
      </ns0:c>
      <ns0:c r="I89" s="192" t="n">
        <ns0:f>G89/60*'核算总览'!$B$3/(21.75*8)*1.5</ns0:f>
        <ns0:v>216.99268550447002</ns0:v>
      </ns0:c>
      <ns0:c r="J89" s="192"/>
      <ns0:c r="K89" s="192"/>
      <ns0:c r="L89" s="192"/>
      <ns0:c r="M89" s="191" t="str"/>
      <ns0:c r="N89" s="191" t="str">
        <ns0:v>/Users/a./Desktop/飞书考勤留存_2026-10-27/逐日原始打卡截图与汇总_2026-10-27/原始截图/2026-04-29_01_日历与上部.jpg</ns0:v>
      </ns0:c>
      <ns0:c r="O89" s="191" t="str">
        <ns0:v>/Users/a./Desktop/飞书考勤留存_2026-10-27/逐日原始打卡截图与汇总_2026-10-27/原始截图/2026-04-29_02_明细下部.jpg</ns0:v>
      </ns0:c>
      <ns0:c r="P89" s="215" t="n">
        <ns0:v>9.033333333333333</ns0:v>
      </ns0:c>
      <ns0:c r="Q89" s="230" t="n">
        <ns0:f>IF(P89&gt;=11,20%,IF(P89&gt;=10,10%,IF(P89&gt;=9,5%,0)))</ns0:f>
        <ns0:v>0.05</ns0:v>
      </ns0:c>
      <ns0:c r="R89" s="201" t="n">
        <ns0:f>IF(H89&gt;0,0,IF(P89&gt;=11,3,IF(P89&gt;=10,2,IF(P89&gt;=9,1,0))))</ns0:f>
        <ns0:v>1</ns0:v>
      </ns0:c>
      <ns0:c r="S89" s="201" t="n">
        <ns0:f>Q89/5%</ns0:f>
        <ns0:v>1</ns0:v>
      </ns0:c>
    </ns0:row>
    <ns0:row r="90" ht="24" customHeight="1">
      <ns0:c r="A90" s="191" t="str">
        <ns0:v>2026-05-06</ns0:v>
      </ns0:c>
      <ns0:c r="B90" s="191" t="str">
        <ns0:v>2026-05</ns0:v>
      </ns0:c>
      <ns0:c r="C90" s="191" t="str">
        <ns0:v>三</ns0:v>
      </ns0:c>
      <ns0:c r="D90" s="191" t="str">
        <ns0:v>工作日（含法定调班日）</ns0:v>
      </ns0:c>
      <ns0:c r="E90" s="191" t="str">
        <ns0:v>09:52</ns0:v>
      </ns0:c>
      <ns0:c r="F90" s="191" t="str">
        <ns0:v>20:04</ns0:v>
      </ns0:c>
      <ns0:c r="G90" s="214" t="n">
        <ns0:v>72</ns0:v>
      </ns0:c>
      <ns0:c r="H90" s="214" t="n">
        <ns0:v>0</ns0:v>
      </ns0:c>
      <ns0:c r="I90" s="192" t="n">
        <ns0:f>G90/60*'核算总览'!$B$3/(21.75*8)*1.5</ns0:f>
        <ns0:v>251.99150574712644</ns0:v>
      </ns0:c>
      <ns0:c r="J90" s="192"/>
      <ns0:c r="K90" s="192"/>
      <ns0:c r="L90" s="192"/>
      <ns0:c r="M90" s="191" t="str"/>
      <ns0:c r="N90" s="191" t="str">
        <ns0:v>/Users/a./Desktop/飞书考勤留存_2026-10-27/逐日原始打卡截图与汇总_2026-10-27/原始截图/2026-05-06_01_日历与上部.jpg</ns0:v>
      </ns0:c>
      <ns0:c r="O90" s="191" t="str">
        <ns0:v>/Users/a./Desktop/飞书考勤留存_2026-10-27/逐日原始打卡截图与汇总_2026-10-27/原始截图/2026-05-06_02_明细下部.jpg</ns0:v>
      </ns0:c>
      <ns0:c r="P90" s="215" t="n">
        <ns0:v>9.2</ns0:v>
      </ns0:c>
      <ns0:c r="Q90" s="230" t="n">
        <ns0:f>IF(P90&gt;=11,20%,IF(P90&gt;=10,10%,IF(P90&gt;=9,5%,0)))</ns0:f>
        <ns0:v>0.05</ns0:v>
      </ns0:c>
      <ns0:c r="R90" s="201" t="n">
        <ns0:f>IF(H90&gt;0,0,IF(P90&gt;=11,3,IF(P90&gt;=10,2,IF(P90&gt;=9,1,0))))</ns0:f>
        <ns0:v>1</ns0:v>
      </ns0:c>
      <ns0:c r="S90" s="201" t="n">
        <ns0:f>Q90/5%</ns0:f>
        <ns0:v>1</ns0:v>
      </ns0:c>
    </ns0:row>
    <ns0:row r="91" ht="24" customHeight="1">
      <ns0:c r="A91" s="191" t="str">
        <ns0:v>2026-05-07</ns0:v>
      </ns0:c>
      <ns0:c r="B91" s="191" t="str">
        <ns0:v>2026-05</ns0:v>
      </ns0:c>
      <ns0:c r="C91" s="191" t="str">
        <ns0:v>四</ns0:v>
      </ns0:c>
      <ns0:c r="D91" s="191" t="str">
        <ns0:v>工作日（含法定调班日）</ns0:v>
      </ns0:c>
      <ns0:c r="E91" s="191" t="str">
        <ns0:v>09:49</ns0:v>
      </ns0:c>
      <ns0:c r="F91" s="191" t="str">
        <ns0:v>20:20</ns0:v>
      </ns0:c>
      <ns0:c r="G91" s="214" t="n">
        <ns0:v>91</ns0:v>
      </ns0:c>
      <ns0:c r="H91" s="214" t="n">
        <ns0:v>0</ns0:v>
      </ns0:c>
      <ns0:c r="I91" s="192" t="n">
        <ns0:f>G91/60*'核算总览'!$B$3/(21.75*8)*1.5</ns0:f>
        <ns0:v>318.4892642081737</ns0:v>
      </ns0:c>
      <ns0:c r="J91" s="192"/>
      <ns0:c r="K91" s="192"/>
      <ns0:c r="L91" s="192"/>
      <ns0:c r="M91" s="191" t="str"/>
      <ns0:c r="N91" s="191" t="str">
        <ns0:v>/Users/a./Desktop/飞书考勤留存_2026-10-27/逐日原始打卡截图与汇总_2026-10-27/原始截图/2026-05-07_01_日历与上部.jpg</ns0:v>
      </ns0:c>
      <ns0:c r="O91" s="191" t="str">
        <ns0:v>/Users/a./Desktop/飞书考勤留存_2026-10-27/逐日原始打卡截图与汇总_2026-10-27/原始截图/2026-05-07_02_明细下部.jpg</ns0:v>
      </ns0:c>
      <ns0:c r="P91" s="215" t="n">
        <ns0:v>9.516666666666667</ns0:v>
      </ns0:c>
      <ns0:c r="Q91" s="230" t="n">
        <ns0:f>IF(P91&gt;=11,20%,IF(P91&gt;=10,10%,IF(P91&gt;=9,5%,0)))</ns0:f>
        <ns0:v>0.05</ns0:v>
      </ns0:c>
      <ns0:c r="R91" s="201" t="n">
        <ns0:f>IF(H91&gt;0,0,IF(P91&gt;=11,3,IF(P91&gt;=10,2,IF(P91&gt;=9,1,0))))</ns0:f>
        <ns0:v>1</ns0:v>
      </ns0:c>
      <ns0:c r="S91" s="201" t="n">
        <ns0:f>Q91/5%</ns0:f>
        <ns0:v>1</ns0:v>
      </ns0:c>
    </ns0:row>
    <ns0:row r="92" ht="24" customHeight="1">
      <ns0:c r="A92" s="191" t="str">
        <ns0:v>2026-05-08</ns0:v>
      </ns0:c>
      <ns0:c r="B92" s="191" t="str">
        <ns0:v>2026-05</ns0:v>
      </ns0:c>
      <ns0:c r="C92" s="191" t="str">
        <ns0:v>五</ns0:v>
      </ns0:c>
      <ns0:c r="D92" s="191" t="str">
        <ns0:v>工作日（含法定调班日）</ns0:v>
      </ns0:c>
      <ns0:c r="E92" s="191" t="str">
        <ns0:v>09:52</ns0:v>
      </ns0:c>
      <ns0:c r="F92" s="191" t="str">
        <ns0:v>20:01</ns0:v>
      </ns0:c>
      <ns0:c r="G92" s="214" t="n">
        <ns0:v>69</ns0:v>
      </ns0:c>
      <ns0:c r="H92" s="214" t="n">
        <ns0:v>0</ns0:v>
      </ns0:c>
      <ns0:c r="I92" s="192" t="n">
        <ns0:f>G92/60*'核算总览'!$B$3/(21.75*8)*1.5</ns0:f>
        <ns0:v>241.49185967432948</ns0:v>
      </ns0:c>
      <ns0:c r="J92" s="192"/>
      <ns0:c r="K92" s="192"/>
      <ns0:c r="L92" s="192"/>
      <ns0:c r="M92" s="191" t="str"/>
      <ns0:c r="N92" s="191" t="str">
        <ns0:v>/Users/a./Desktop/飞书考勤留存_2026-10-27/逐日原始打卡截图与汇总_2026-10-27/原始截图/2026-05-08_01_日历与上部.jpg</ns0:v>
      </ns0:c>
      <ns0:c r="O92" s="191" t="str">
        <ns0:v>/Users/a./Desktop/飞书考勤留存_2026-10-27/逐日原始打卡截图与汇总_2026-10-27/原始截图/2026-05-08_02_明细下部.jpg</ns0:v>
      </ns0:c>
      <ns0:c r="P92" s="215" t="n">
        <ns0:v>9.15</ns0:v>
      </ns0:c>
      <ns0:c r="Q92" s="230" t="n">
        <ns0:f>IF(P92&gt;=11,20%,IF(P92&gt;=10,10%,IF(P92&gt;=9,5%,0)))</ns0:f>
        <ns0:v>0.05</ns0:v>
      </ns0:c>
      <ns0:c r="R92" s="201" t="n">
        <ns0:f>IF(H92&gt;0,0,IF(P92&gt;=11,3,IF(P92&gt;=10,2,IF(P92&gt;=9,1,0))))</ns0:f>
        <ns0:v>1</ns0:v>
      </ns0:c>
      <ns0:c r="S92" s="201" t="n">
        <ns0:f>Q92/5%</ns0:f>
        <ns0:v>1</ns0:v>
      </ns0:c>
    </ns0:row>
    <ns0:row r="93" ht="24" customHeight="1">
      <ns0:c r="A93" s="191" t="str">
        <ns0:v>2026-05-09</ns0:v>
      </ns0:c>
      <ns0:c r="B93" s="191" t="str">
        <ns0:v>2026-05</ns0:v>
      </ns0:c>
      <ns0:c r="C93" s="191" t="str">
        <ns0:v>六</ns0:v>
      </ns0:c>
      <ns0:c r="D93" s="191" t="str">
        <ns0:v>工作日（含法定调班日）</ns0:v>
      </ns0:c>
      <ns0:c r="E93" s="191" t="str">
        <ns0:v>09:50</ns0:v>
      </ns0:c>
      <ns0:c r="F93" s="191" t="str">
        <ns0:v>19:51</ns0:v>
      </ns0:c>
      <ns0:c r="G93" s="214" t="n">
        <ns0:v>61</ns0:v>
      </ns0:c>
      <ns0:c r="H93" s="214" t="n">
        <ns0:v>0</ns0:v>
      </ns0:c>
      <ns0:c r="I93" s="192" t="n">
        <ns0:f>G93/60*'核算总览'!$B$3/(21.75*8)*1.5</ns0:f>
        <ns0:v>213.49280348020432</ns0:v>
      </ns0:c>
      <ns0:c r="J93" s="192"/>
      <ns0:c r="K93" s="192"/>
      <ns0:c r="L93" s="192"/>
      <ns0:c r="M93" s="191" t="str"/>
      <ns0:c r="N93" s="191" t="str">
        <ns0:v>/Users/a./Desktop/飞书考勤留存_2026-10-27/逐日原始打卡截图与汇总_2026-10-27/原始截图/2026-05-09_01_日历与上部.jpg</ns0:v>
      </ns0:c>
      <ns0:c r="O93" s="191" t="str">
        <ns0:v>/Users/a./Desktop/飞书考勤留存_2026-10-27/逐日原始打卡截图与汇总_2026-10-27/原始截图/2026-05-09_02_明细下部.jpg</ns0:v>
      </ns0:c>
      <ns0:c r="P93" s="215" t="n">
        <ns0:v>9.016666666666667</ns0:v>
      </ns0:c>
      <ns0:c r="Q93" s="230" t="n">
        <ns0:f>IF(P93&gt;=11,20%,IF(P93&gt;=10,10%,IF(P93&gt;=9,5%,0)))</ns0:f>
        <ns0:v>0.05</ns0:v>
      </ns0:c>
      <ns0:c r="R93" s="201" t="n">
        <ns0:f>IF(H93&gt;0,0,IF(P93&gt;=11,3,IF(P93&gt;=10,2,IF(P93&gt;=9,1,0))))</ns0:f>
        <ns0:v>1</ns0:v>
      </ns0:c>
      <ns0:c r="S93" s="201" t="n">
        <ns0:f>Q93/5%</ns0:f>
        <ns0:v>1</ns0:v>
      </ns0:c>
    </ns0:row>
    <ns0:row r="94" ht="24" customHeight="1">
      <ns0:c r="A94" s="191" t="str">
        <ns0:v>2026-05-11</ns0:v>
      </ns0:c>
      <ns0:c r="B94" s="191" t="str">
        <ns0:v>2026-05</ns0:v>
      </ns0:c>
      <ns0:c r="C94" s="191" t="str">
        <ns0:v>一</ns0:v>
      </ns0:c>
      <ns0:c r="D94" s="191" t="str">
        <ns0:v>工作日（含法定调班日）</ns0:v>
      </ns0:c>
      <ns0:c r="E94" s="191" t="str">
        <ns0:v>09:54</ns0:v>
      </ns0:c>
      <ns0:c r="F94" s="191" t="str">
        <ns0:v>19:56</ns0:v>
      </ns0:c>
      <ns0:c r="G94" s="214" t="n">
        <ns0:v>62</ns0:v>
      </ns0:c>
      <ns0:c r="H94" s="214" t="n">
        <ns0:v>0</ns0:v>
      </ns0:c>
      <ns0:c r="I94" s="192" t="n">
        <ns0:f>G94/60*'核算总览'!$B$3/(21.75*8)*1.5</ns0:f>
        <ns0:v>216.99268550447002</ns0:v>
      </ns0:c>
      <ns0:c r="J94" s="192"/>
      <ns0:c r="K94" s="192"/>
      <ns0:c r="L94" s="192"/>
      <ns0:c r="M94" s="191" t="str"/>
      <ns0:c r="N94" s="191" t="str">
        <ns0:v>/Users/a./Desktop/飞书考勤留存_2026-10-27/逐日原始打卡截图与汇总_2026-10-27/原始截图/2026-05-11_01_日历与上部.jpg</ns0:v>
      </ns0:c>
      <ns0:c r="O94" s="191" t="str">
        <ns0:v>/Users/a./Desktop/飞书考勤留存_2026-10-27/逐日原始打卡截图与汇总_2026-10-27/原始截图/2026-05-11_02_明细下部.jpg</ns0:v>
      </ns0:c>
      <ns0:c r="P94" s="215" t="n">
        <ns0:v>9.033333333333333</ns0:v>
      </ns0:c>
      <ns0:c r="Q94" s="230" t="n">
        <ns0:f>IF(P94&gt;=11,20%,IF(P94&gt;=10,10%,IF(P94&gt;=9,5%,0)))</ns0:f>
        <ns0:v>0.05</ns0:v>
      </ns0:c>
      <ns0:c r="R94" s="201" t="n">
        <ns0:f>IF(H94&gt;0,0,IF(P94&gt;=11,3,IF(P94&gt;=10,2,IF(P94&gt;=9,1,0))))</ns0:f>
        <ns0:v>1</ns0:v>
      </ns0:c>
      <ns0:c r="S94" s="201" t="n">
        <ns0:f>Q94/5%</ns0:f>
        <ns0:v>1</ns0:v>
      </ns0:c>
    </ns0:row>
    <ns0:row r="95" ht="24" customHeight="1">
      <ns0:c r="A95" s="191" t="str">
        <ns0:v>2026-05-12</ns0:v>
      </ns0:c>
      <ns0:c r="B95" s="191" t="str">
        <ns0:v>2026-05</ns0:v>
      </ns0:c>
      <ns0:c r="C95" s="191" t="str">
        <ns0:v>二</ns0:v>
      </ns0:c>
      <ns0:c r="D95" s="191" t="str">
        <ns0:v>工作日（含法定调班日）</ns0:v>
      </ns0:c>
      <ns0:c r="E95" s="191" t="str">
        <ns0:v>09:53</ns0:v>
      </ns0:c>
      <ns0:c r="F95" s="191" t="str">
        <ns0:v>19:54</ns0:v>
      </ns0:c>
      <ns0:c r="G95" s="214" t="n">
        <ns0:v>61</ns0:v>
      </ns0:c>
      <ns0:c r="H95" s="214" t="n">
        <ns0:v>0</ns0:v>
      </ns0:c>
      <ns0:c r="I95" s="192" t="n">
        <ns0:f>G95/60*'核算总览'!$B$3/(21.75*8)*1.5</ns0:f>
        <ns0:v>213.49280348020432</ns0:v>
      </ns0:c>
      <ns0:c r="J95" s="192"/>
      <ns0:c r="K95" s="192"/>
      <ns0:c r="L95" s="192"/>
      <ns0:c r="M95" s="191" t="str"/>
      <ns0:c r="N95" s="191" t="str">
        <ns0:v>/Users/a./Desktop/飞书考勤留存_2026-10-27/逐日原始打卡截图与汇总_2026-10-27/原始截图/2026-05-12_01_日历与上部.jpg</ns0:v>
      </ns0:c>
      <ns0:c r="O95" s="191" t="str">
        <ns0:v>/Users/a./Desktop/飞书考勤留存_2026-10-27/逐日原始打卡截图与汇总_2026-10-27/原始截图/2026-05-12_02_明细下部.jpg</ns0:v>
      </ns0:c>
      <ns0:c r="P95" s="215" t="n">
        <ns0:v>9.016666666666667</ns0:v>
      </ns0:c>
      <ns0:c r="Q95" s="230" t="n">
        <ns0:f>IF(P95&gt;=11,20%,IF(P95&gt;=10,10%,IF(P95&gt;=9,5%,0)))</ns0:f>
        <ns0:v>0.05</ns0:v>
      </ns0:c>
      <ns0:c r="R95" s="201" t="n">
        <ns0:f>IF(H95&gt;0,0,IF(P95&gt;=11,3,IF(P95&gt;=10,2,IF(P95&gt;=9,1,0))))</ns0:f>
        <ns0:v>1</ns0:v>
      </ns0:c>
      <ns0:c r="S95" s="201" t="n">
        <ns0:f>Q95/5%</ns0:f>
        <ns0:v>1</ns0:v>
      </ns0:c>
    </ns0:row>
    <ns0:row r="96" ht="24" customHeight="1">
      <ns0:c r="A96" s="191" t="str">
        <ns0:v>2026-05-13</ns0:v>
      </ns0:c>
      <ns0:c r="B96" s="191" t="str">
        <ns0:v>2026-05</ns0:v>
      </ns0:c>
      <ns0:c r="C96" s="191" t="str">
        <ns0:v>三</ns0:v>
      </ns0:c>
      <ns0:c r="D96" s="191" t="str">
        <ns0:v>工作日（含法定调班日）</ns0:v>
      </ns0:c>
      <ns0:c r="E96" s="191" t="str">
        <ns0:v>09:47</ns0:v>
      </ns0:c>
      <ns0:c r="F96" s="191" t="str">
        <ns0:v>19:52</ns0:v>
      </ns0:c>
      <ns0:c r="G96" s="214" t="n">
        <ns0:v>65</ns0:v>
      </ns0:c>
      <ns0:c r="H96" s="214" t="n">
        <ns0:v>0</ns0:v>
      </ns0:c>
      <ns0:c r="I96" s="192" t="n">
        <ns0:f>G96/60*'核算总览'!$B$3/(21.75*8)*1.5</ns0:f>
        <ns0:v>227.49233157726687</ns0:v>
      </ns0:c>
      <ns0:c r="J96" s="192"/>
      <ns0:c r="K96" s="192"/>
      <ns0:c r="L96" s="192"/>
      <ns0:c r="M96" s="191" t="str"/>
      <ns0:c r="N96" s="191" t="str">
        <ns0:v>/Users/a./Desktop/飞书考勤留存_2026-10-27/逐日原始打卡截图与汇总_2026-10-27/原始截图/2026-05-13_01_日历与上部.jpg</ns0:v>
      </ns0:c>
      <ns0:c r="O96" s="191" t="str">
        <ns0:v>/Users/a./Desktop/飞书考勤留存_2026-10-27/逐日原始打卡截图与汇总_2026-10-27/原始截图/2026-05-13_02_明细下部.jpg</ns0:v>
      </ns0:c>
      <ns0:c r="P96" s="215" t="n">
        <ns0:v>9.083333333333334</ns0:v>
      </ns0:c>
      <ns0:c r="Q96" s="230" t="n">
        <ns0:f>IF(P96&gt;=11,20%,IF(P96&gt;=10,10%,IF(P96&gt;=9,5%,0)))</ns0:f>
        <ns0:v>0.05</ns0:v>
      </ns0:c>
      <ns0:c r="R96" s="201" t="n">
        <ns0:f>IF(H96&gt;0,0,IF(P96&gt;=11,3,IF(P96&gt;=10,2,IF(P96&gt;=9,1,0))))</ns0:f>
        <ns0:v>1</ns0:v>
      </ns0:c>
      <ns0:c r="S96" s="201" t="n">
        <ns0:f>Q96/5%</ns0:f>
        <ns0:v>1</ns0:v>
      </ns0:c>
    </ns0:row>
    <ns0:row r="97" ht="24" customHeight="1">
      <ns0:c r="A97" s="191" t="str">
        <ns0:v>2026-05-14</ns0:v>
      </ns0:c>
      <ns0:c r="B97" s="191" t="str">
        <ns0:v>2026-05</ns0:v>
      </ns0:c>
      <ns0:c r="C97" s="191" t="str">
        <ns0:v>四</ns0:v>
      </ns0:c>
      <ns0:c r="D97" s="191" t="str">
        <ns0:v>工作日（含法定调班日）</ns0:v>
      </ns0:c>
      <ns0:c r="E97" s="191" t="str">
        <ns0:v>09:52</ns0:v>
      </ns0:c>
      <ns0:c r="F97" s="191" t="str">
        <ns0:v>20:53</ns0:v>
      </ns0:c>
      <ns0:c r="G97" s="214" t="n">
        <ns0:v>121</ns0:v>
      </ns0:c>
      <ns0:c r="H97" s="214" t="n">
        <ns0:v>0</ns0:v>
      </ns0:c>
      <ns0:c r="I97" s="192" t="n">
        <ns0:f>G97/60*'核算总览'!$B$3/(21.75*8)*1.5</ns0:f>
        <ns0:v>423.485724936143</ns0:v>
      </ns0:c>
      <ns0:c r="J97" s="192"/>
      <ns0:c r="K97" s="192"/>
      <ns0:c r="L97" s="192"/>
      <ns0:c r="M97" s="191" t="str"/>
      <ns0:c r="N97" s="191" t="str">
        <ns0:v>/Users/a./Desktop/飞书考勤留存_2026-10-27/逐日原始打卡截图与汇总_2026-10-27/原始截图/2026-05-14_01_日历与上部.jpg</ns0:v>
      </ns0:c>
      <ns0:c r="O97" s="191" t="str">
        <ns0:v>/Users/a./Desktop/飞书考勤留存_2026-10-27/逐日原始打卡截图与汇总_2026-10-27/原始截图/2026-05-14_02_明细下部.jpg</ns0:v>
      </ns0:c>
      <ns0:c r="P97" s="215" t="n">
        <ns0:v>10.016666666666667</ns0:v>
      </ns0:c>
      <ns0:c r="Q97" s="230" t="n">
        <ns0:f>IF(P97&gt;=11,20%,IF(P97&gt;=10,10%,IF(P97&gt;=9,5%,0)))</ns0:f>
        <ns0:v>0.1</ns0:v>
      </ns0:c>
      <ns0:c r="R97" s="201" t="n">
        <ns0:f>IF(H97&gt;0,0,IF(P97&gt;=11,3,IF(P97&gt;=10,2,IF(P97&gt;=9,1,0))))</ns0:f>
        <ns0:v>2</ns0:v>
      </ns0:c>
      <ns0:c r="S97" s="201" t="n">
        <ns0:f>Q97/5%</ns0:f>
        <ns0:v>2</ns0:v>
      </ns0:c>
    </ns0:row>
    <ns0:row r="98" ht="24" customHeight="1">
      <ns0:c r="A98" s="191" t="str">
        <ns0:v>2026-05-15</ns0:v>
      </ns0:c>
      <ns0:c r="B98" s="191" t="str">
        <ns0:v>2026-05</ns0:v>
      </ns0:c>
      <ns0:c r="C98" s="191" t="str">
        <ns0:v>五</ns0:v>
      </ns0:c>
      <ns0:c r="D98" s="191" t="str">
        <ns0:v>工作日（含法定调班日）</ns0:v>
      </ns0:c>
      <ns0:c r="E98" s="191" t="str">
        <ns0:v>09:51</ns0:v>
      </ns0:c>
      <ns0:c r="F98" s="191" t="str">
        <ns0:v>20:08</ns0:v>
      </ns0:c>
      <ns0:c r="G98" s="214" t="n">
        <ns0:v>77</ns0:v>
      </ns0:c>
      <ns0:c r="H98" s="214" t="n">
        <ns0:v>0</ns0:v>
      </ns0:c>
      <ns0:c r="I98" s="192" t="n">
        <ns0:f>G98/60*'核算总览'!$B$3/(21.75*8)*1.5</ns0:f>
        <ns0:v>269.49091586845464</ns0:v>
      </ns0:c>
      <ns0:c r="J98" s="192"/>
      <ns0:c r="K98" s="192"/>
      <ns0:c r="L98" s="192"/>
      <ns0:c r="M98" s="191" t="str"/>
      <ns0:c r="N98" s="191" t="str">
        <ns0:v>/Users/a./Desktop/飞书考勤留存_2026-10-27/逐日原始打卡截图与汇总_2026-10-27/原始截图/2026-05-15_01_日历与上部.jpg</ns0:v>
      </ns0:c>
      <ns0:c r="O98" s="191" t="str">
        <ns0:v>/Users/a./Desktop/飞书考勤留存_2026-10-27/逐日原始打卡截图与汇总_2026-10-27/原始截图/2026-05-15_02_明细下部.jpg</ns0:v>
      </ns0:c>
      <ns0:c r="P98" s="215" t="n">
        <ns0:v>9.283333333333333</ns0:v>
      </ns0:c>
      <ns0:c r="Q98" s="230" t="n">
        <ns0:f>IF(P98&gt;=11,20%,IF(P98&gt;=10,10%,IF(P98&gt;=9,5%,0)))</ns0:f>
        <ns0:v>0.05</ns0:v>
      </ns0:c>
      <ns0:c r="R98" s="201" t="n">
        <ns0:f>IF(H98&gt;0,0,IF(P98&gt;=11,3,IF(P98&gt;=10,2,IF(P98&gt;=9,1,0))))</ns0:f>
        <ns0:v>1</ns0:v>
      </ns0:c>
      <ns0:c r="S98" s="201" t="n">
        <ns0:f>Q98/5%</ns0:f>
        <ns0:v>1</ns0:v>
      </ns0:c>
    </ns0:row>
    <ns0:row r="99" ht="24" customHeight="1">
      <ns0:c r="A99" s="191" t="str">
        <ns0:v>2026-05-17</ns0:v>
      </ns0:c>
      <ns0:c r="B99" s="191" t="str">
        <ns0:v>2026-05</ns0:v>
      </ns0:c>
      <ns0:c r="C99" s="191" t="str">
        <ns0:v>日</ns0:v>
      </ns0:c>
      <ns0:c r="D99" s="191" t="str">
        <ns0:v>休息日或假期</ns0:v>
      </ns0:c>
      <ns0:c r="E99" s="191" t="str">
        <ns0:v>09:48</ns0:v>
      </ns0:c>
      <ns0:c r="F99" s="191" t="str">
        <ns0:v>20:00</ns0:v>
      </ns0:c>
      <ns0:c r="G99" s="214" t="n">
        <ns0:v>0</ns0:v>
      </ns0:c>
      <ns0:c r="H99" s="214" t="n">
        <ns0:v>552</ns0:v>
      </ns0:c>
      <ns0:c r="I99" s="192" t="n">
        <ns0:f>G99/60*'核算总览'!$B$3/(21.75*8)*1.5</ns0:f>
        <ns0:v>0</ns0:v>
      </ns0:c>
      <ns0:c r="J99" s="192"/>
      <ns0:c r="K99" s="192"/>
      <ns0:c r="L99" s="192"/>
      <ns0:c r="M99" s="191" t="str"/>
      <ns0:c r="N99" s="191" t="str">
        <ns0:v>/Users/a./Desktop/飞书考勤留存_2026-10-27/逐日原始打卡截图与汇总_2026-10-27/原始截图/2026-05-17_01_日历与上部.jpg</ns0:v>
      </ns0:c>
      <ns0:c r="O99" s="191" t="str">
        <ns0:v>/Users/a./Desktop/飞书考勤留存_2026-10-27/逐日原始打卡截图与汇总_2026-10-27/原始截图/2026-05-17_02_明细下部.jpg</ns0:v>
      </ns0:c>
      <ns0:c r="P99" s="215" t="n">
        <ns0:v>9.2</ns0:v>
      </ns0:c>
      <ns0:c r="Q99" s="230" t="n">
        <ns0:f>IF(P99&gt;=11,20%,IF(P99&gt;=10,10%,IF(P99&gt;=9,5%,0)))</ns0:f>
        <ns0:v>0.05</ns0:v>
      </ns0:c>
      <ns0:c r="R99" s="201" t="n">
        <ns0:f>IF(H99&gt;0,0,IF(P99&gt;=11,3,IF(P99&gt;=10,2,IF(P99&gt;=9,1,0))))</ns0:f>
        <ns0:v>0</ns0:v>
      </ns0:c>
      <ns0:c r="S99" s="201" t="n">
        <ns0:f>Q99/5%</ns0:f>
        <ns0:v>1</ns0:v>
      </ns0:c>
    </ns0:row>
    <ns0:row r="100" ht="24" customHeight="1">
      <ns0:c r="A100" s="191" t="str">
        <ns0:v>2026-05-18</ns0:v>
      </ns0:c>
      <ns0:c r="B100" s="191" t="str">
        <ns0:v>2026-05</ns0:v>
      </ns0:c>
      <ns0:c r="C100" s="191" t="str">
        <ns0:v>一</ns0:v>
      </ns0:c>
      <ns0:c r="D100" s="191" t="str">
        <ns0:v>工作日（含法定调班日）</ns0:v>
      </ns0:c>
      <ns0:c r="E100" s="191" t="str">
        <ns0:v>09:49</ns0:v>
      </ns0:c>
      <ns0:c r="F100" s="191" t="str">
        <ns0:v>20:07</ns0:v>
      </ns0:c>
      <ns0:c r="G100" s="214" t="n">
        <ns0:v>78</ns0:v>
      </ns0:c>
      <ns0:c r="H100" s="214" t="n">
        <ns0:v>0</ns0:v>
      </ns0:c>
      <ns0:c r="I100" s="192" t="n">
        <ns0:f>G100/60*'核算总览'!$B$3/(21.75*8)*1.5</ns0:f>
        <ns0:v>272.9907978927203</ns0:v>
      </ns0:c>
      <ns0:c r="J100" s="192"/>
      <ns0:c r="K100" s="192"/>
      <ns0:c r="L100" s="192"/>
      <ns0:c r="M100" s="191" t="str"/>
      <ns0:c r="N100" s="191" t="str">
        <ns0:v>/Users/a./Desktop/飞书考勤留存_2026-10-27/逐日原始打卡截图与汇总_2026-10-27/原始截图/2026-05-18_01_日历与上部.jpg</ns0:v>
      </ns0:c>
      <ns0:c r="O100" s="191" t="str">
        <ns0:v>/Users/a./Desktop/飞书考勤留存_2026-10-27/逐日原始打卡截图与汇总_2026-10-27/原始截图/2026-05-18_02_明细下部.jpg</ns0:v>
      </ns0:c>
      <ns0:c r="P100" s="215" t="n">
        <ns0:v>9.3</ns0:v>
      </ns0:c>
      <ns0:c r="Q100" s="230" t="n">
        <ns0:f>IF(P100&gt;=11,20%,IF(P100&gt;=10,10%,IF(P100&gt;=9,5%,0)))</ns0:f>
        <ns0:v>0.05</ns0:v>
      </ns0:c>
      <ns0:c r="R100" s="201" t="n">
        <ns0:f>IF(H100&gt;0,0,IF(P100&gt;=11,3,IF(P100&gt;=10,2,IF(P100&gt;=9,1,0))))</ns0:f>
        <ns0:v>1</ns0:v>
      </ns0:c>
      <ns0:c r="S100" s="201" t="n">
        <ns0:f>Q100/5%</ns0:f>
        <ns0:v>1</ns0:v>
      </ns0:c>
    </ns0:row>
    <ns0:row r="101" ht="24" customHeight="1">
      <ns0:c r="A101" s="191" t="str">
        <ns0:v>2026-05-19</ns0:v>
      </ns0:c>
      <ns0:c r="B101" s="191" t="str">
        <ns0:v>2026-05</ns0:v>
      </ns0:c>
      <ns0:c r="C101" s="191" t="str">
        <ns0:v>二</ns0:v>
      </ns0:c>
      <ns0:c r="D101" s="191" t="str">
        <ns0:v>工作日（含法定调班日）</ns0:v>
      </ns0:c>
      <ns0:c r="E101" s="191" t="str">
        <ns0:v>09:54</ns0:v>
      </ns0:c>
      <ns0:c r="F101" s="191" t="str">
        <ns0:v>20:03</ns0:v>
      </ns0:c>
      <ns0:c r="G101" s="214" t="n">
        <ns0:v>69</ns0:v>
      </ns0:c>
      <ns0:c r="H101" s="214" t="n">
        <ns0:v>0</ns0:v>
      </ns0:c>
      <ns0:c r="I101" s="192" t="n">
        <ns0:f>G101/60*'核算总览'!$B$3/(21.75*8)*1.5</ns0:f>
        <ns0:v>241.49185967432948</ns0:v>
      </ns0:c>
      <ns0:c r="J101" s="192"/>
      <ns0:c r="K101" s="192"/>
      <ns0:c r="L101" s="192"/>
      <ns0:c r="M101" s="191" t="str"/>
      <ns0:c r="N101" s="191" t="str">
        <ns0:v>/Users/a./Desktop/飞书考勤留存_2026-10-27/逐日原始打卡截图与汇总_2026-10-27/原始截图/2026-05-19_01_日历与上部.jpg</ns0:v>
      </ns0:c>
      <ns0:c r="O101" s="191" t="str">
        <ns0:v>/Users/a./Desktop/飞书考勤留存_2026-10-27/逐日原始打卡截图与汇总_2026-10-27/原始截图/2026-05-19_02_明细下部.jpg</ns0:v>
      </ns0:c>
      <ns0:c r="P101" s="215" t="n">
        <ns0:v>9.15</ns0:v>
      </ns0:c>
      <ns0:c r="Q101" s="230" t="n">
        <ns0:f>IF(P101&gt;=11,20%,IF(P101&gt;=10,10%,IF(P101&gt;=9,5%,0)))</ns0:f>
        <ns0:v>0.05</ns0:v>
      </ns0:c>
      <ns0:c r="R101" s="201" t="n">
        <ns0:f>IF(H101&gt;0,0,IF(P101&gt;=11,3,IF(P101&gt;=10,2,IF(P101&gt;=9,1,0))))</ns0:f>
        <ns0:v>1</ns0:v>
      </ns0:c>
      <ns0:c r="S101" s="201" t="n">
        <ns0:f>Q101/5%</ns0:f>
        <ns0:v>1</ns0:v>
      </ns0:c>
    </ns0:row>
    <ns0:row r="102" ht="24" customHeight="1">
      <ns0:c r="A102" s="191" t="str">
        <ns0:v>2026-05-20</ns0:v>
      </ns0:c>
      <ns0:c r="B102" s="191" t="str">
        <ns0:v>2026-05</ns0:v>
      </ns0:c>
      <ns0:c r="C102" s="191" t="str">
        <ns0:v>三</ns0:v>
      </ns0:c>
      <ns0:c r="D102" s="191" t="str">
        <ns0:v>工作日（含法定调班日）</ns0:v>
      </ns0:c>
      <ns0:c r="E102" s="191" t="str">
        <ns0:v>09:54</ns0:v>
      </ns0:c>
      <ns0:c r="F102" s="191" t="str">
        <ns0:v>20:03</ns0:v>
      </ns0:c>
      <ns0:c r="G102" s="214" t="n">
        <ns0:v>69</ns0:v>
      </ns0:c>
      <ns0:c r="H102" s="214" t="n">
        <ns0:v>0</ns0:v>
      </ns0:c>
      <ns0:c r="I102" s="192" t="n">
        <ns0:f>G102/60*'核算总览'!$B$3/(21.75*8)*1.5</ns0:f>
        <ns0:v>241.49185967432948</ns0:v>
      </ns0:c>
      <ns0:c r="J102" s="192"/>
      <ns0:c r="K102" s="192"/>
      <ns0:c r="L102" s="192"/>
      <ns0:c r="M102" s="191" t="str"/>
      <ns0:c r="N102" s="191" t="str">
        <ns0:v>/Users/a./Desktop/飞书考勤留存_2026-10-27/逐日原始打卡截图与汇总_2026-10-27/原始截图/2026-05-20_01_日历与上部.jpg</ns0:v>
      </ns0:c>
      <ns0:c r="O102" s="191" t="str">
        <ns0:v>/Users/a./Desktop/飞书考勤留存_2026-10-27/逐日原始打卡截图与汇总_2026-10-27/原始截图/2026-05-20_02_明细下部.jpg</ns0:v>
      </ns0:c>
      <ns0:c r="P102" s="215" t="n">
        <ns0:v>9.15</ns0:v>
      </ns0:c>
      <ns0:c r="Q102" s="230" t="n">
        <ns0:f>IF(P102&gt;=11,20%,IF(P102&gt;=10,10%,IF(P102&gt;=9,5%,0)))</ns0:f>
        <ns0:v>0.05</ns0:v>
      </ns0:c>
      <ns0:c r="R102" s="201" t="n">
        <ns0:f>IF(H102&gt;0,0,IF(P102&gt;=11,3,IF(P102&gt;=10,2,IF(P102&gt;=9,1,0))))</ns0:f>
        <ns0:v>1</ns0:v>
      </ns0:c>
      <ns0:c r="S102" s="201" t="n">
        <ns0:f>Q102/5%</ns0:f>
        <ns0:v>1</ns0:v>
      </ns0:c>
    </ns0:row>
    <ns0:row r="103" ht="24" customHeight="1">
      <ns0:c r="A103" s="191" t="str">
        <ns0:v>2026-05-21</ns0:v>
      </ns0:c>
      <ns0:c r="B103" s="191" t="str">
        <ns0:v>2026-05</ns0:v>
      </ns0:c>
      <ns0:c r="C103" s="191" t="str">
        <ns0:v>四</ns0:v>
      </ns0:c>
      <ns0:c r="D103" s="191" t="str">
        <ns0:v>工作日（含法定调班日）</ns0:v>
      </ns0:c>
      <ns0:c r="E103" s="191" t="str">
        <ns0:v>09:53</ns0:v>
      </ns0:c>
      <ns0:c r="F103" s="191" t="str">
        <ns0:v>20:00</ns0:v>
      </ns0:c>
      <ns0:c r="G103" s="214" t="n">
        <ns0:v>67</ns0:v>
      </ns0:c>
      <ns0:c r="H103" s="214" t="n">
        <ns0:v>0</ns0:v>
      </ns0:c>
      <ns0:c r="I103" s="192" t="n">
        <ns0:f>G103/60*'核算总览'!$B$3/(21.75*8)*1.5</ns0:f>
        <ns0:v>234.49209562579819</ns0:v>
      </ns0:c>
      <ns0:c r="J103" s="192"/>
      <ns0:c r="K103" s="192"/>
      <ns0:c r="L103" s="192"/>
      <ns0:c r="M103" s="191" t="str"/>
      <ns0:c r="N103" s="191" t="str">
        <ns0:v>/Users/a./Desktop/飞书考勤留存_2026-10-27/逐日原始打卡截图与汇总_2026-10-27/原始截图/2026-05-21_01_日历与上部.jpg</ns0:v>
      </ns0:c>
      <ns0:c r="O103" s="191" t="str">
        <ns0:v>/Users/a./Desktop/飞书考勤留存_2026-10-27/逐日原始打卡截图与汇总_2026-10-27/原始截图/2026-05-21_02_明细下部.jpg</ns0:v>
      </ns0:c>
      <ns0:c r="P103" s="215" t="n">
        <ns0:v>9.116666666666667</ns0:v>
      </ns0:c>
      <ns0:c r="Q103" s="230" t="n">
        <ns0:f>IF(P103&gt;=11,20%,IF(P103&gt;=10,10%,IF(P103&gt;=9,5%,0)))</ns0:f>
        <ns0:v>0.05</ns0:v>
      </ns0:c>
      <ns0:c r="R103" s="201" t="n">
        <ns0:f>IF(H103&gt;0,0,IF(P103&gt;=11,3,IF(P103&gt;=10,2,IF(P103&gt;=9,1,0))))</ns0:f>
        <ns0:v>1</ns0:v>
      </ns0:c>
      <ns0:c r="S103" s="201" t="n">
        <ns0:f>Q103/5%</ns0:f>
        <ns0:v>1</ns0:v>
      </ns0:c>
    </ns0:row>
    <ns0:row r="104" ht="24" customHeight="1">
      <ns0:c r="A104" s="191" t="str">
        <ns0:v>2026-05-22</ns0:v>
      </ns0:c>
      <ns0:c r="B104" s="191" t="str">
        <ns0:v>2026-05</ns0:v>
      </ns0:c>
      <ns0:c r="C104" s="191" t="str">
        <ns0:v>五</ns0:v>
      </ns0:c>
      <ns0:c r="D104" s="191" t="str">
        <ns0:v>工作日（含法定调班日）</ns0:v>
      </ns0:c>
      <ns0:c r="E104" s="191" t="str">
        <ns0:v>09:54</ns0:v>
      </ns0:c>
      <ns0:c r="F104" s="191" t="str">
        <ns0:v>20:13</ns0:v>
      </ns0:c>
      <ns0:c r="G104" s="214" t="n">
        <ns0:v>79</ns0:v>
      </ns0:c>
      <ns0:c r="H104" s="214" t="n">
        <ns0:v>0</ns0:v>
      </ns0:c>
      <ns0:c r="I104" s="192" t="n">
        <ns0:f>G104/60*'核算总览'!$B$3/(21.75*8)*1.5</ns0:f>
        <ns0:v>276.4906799169859</ns0:v>
      </ns0:c>
      <ns0:c r="J104" s="192"/>
      <ns0:c r="K104" s="192"/>
      <ns0:c r="L104" s="192"/>
      <ns0:c r="M104" s="191" t="str"/>
      <ns0:c r="N104" s="191" t="str">
        <ns0:v>/Users/a./Desktop/飞书考勤留存_2026-10-27/逐日原始打卡截图与汇总_2026-10-27/原始截图/2026-05-22_01_日历与上部.jpg</ns0:v>
      </ns0:c>
      <ns0:c r="O104" s="191" t="str">
        <ns0:v>/Users/a./Desktop/飞书考勤留存_2026-10-27/逐日原始打卡截图与汇总_2026-10-27/原始截图/2026-05-22_02_明细下部.jpg</ns0:v>
      </ns0:c>
      <ns0:c r="P104" s="215" t="n">
        <ns0:v>9.316666666666666</ns0:v>
      </ns0:c>
      <ns0:c r="Q104" s="230" t="n">
        <ns0:f>IF(P104&gt;=11,20%,IF(P104&gt;=10,10%,IF(P104&gt;=9,5%,0)))</ns0:f>
        <ns0:v>0.05</ns0:v>
      </ns0:c>
      <ns0:c r="R104" s="201" t="n">
        <ns0:f>IF(H104&gt;0,0,IF(P104&gt;=11,3,IF(P104&gt;=10,2,IF(P104&gt;=9,1,0))))</ns0:f>
        <ns0:v>1</ns0:v>
      </ns0:c>
      <ns0:c r="S104" s="201" t="n">
        <ns0:f>Q104/5%</ns0:f>
        <ns0:v>1</ns0:v>
      </ns0:c>
    </ns0:row>
    <ns0:row r="105" ht="24" customHeight="1">
      <ns0:c r="A105" s="191" t="str">
        <ns0:v>2026-05-24</ns0:v>
      </ns0:c>
      <ns0:c r="B105" s="191" t="str">
        <ns0:v>2026-05</ns0:v>
      </ns0:c>
      <ns0:c r="C105" s="191" t="str">
        <ns0:v>日</ns0:v>
      </ns0:c>
      <ns0:c r="D105" s="191" t="str">
        <ns0:v>休息日或假期</ns0:v>
      </ns0:c>
      <ns0:c r="E105" s="191" t="str">
        <ns0:v>09:52</ns0:v>
      </ns0:c>
      <ns0:c r="F105" s="191" t="str">
        <ns0:v>19:08</ns0:v>
      </ns0:c>
      <ns0:c r="G105" s="214" t="n">
        <ns0:v>0</ns0:v>
      </ns0:c>
      <ns0:c r="H105" s="214" t="n">
        <ns0:v>496</ns0:v>
      </ns0:c>
      <ns0:c r="I105" s="192" t="n">
        <ns0:f>G105/60*'核算总览'!$B$3/(21.75*8)*1.5</ns0:f>
        <ns0:v>0</ns0:v>
      </ns0:c>
      <ns0:c r="J105" s="192"/>
      <ns0:c r="K105" s="192"/>
      <ns0:c r="L105" s="192"/>
      <ns0:c r="M105" s="191" t="str">
        <ns0:v>加班</ns0:v>
      </ns0:c>
      <ns0:c r="N105" s="191" t="str">
        <ns0:v>/Users/a./Desktop/飞书考勤留存_2026-10-27/逐日原始打卡截图与汇总_2026-10-27/原始截图/2026-05-24_01_日历与上部.jpg</ns0:v>
      </ns0:c>
      <ns0:c r="O105" s="191" t="str">
        <ns0:v>/Users/a./Desktop/飞书考勤留存_2026-10-27/逐日原始打卡截图与汇总_2026-10-27/原始截图/2026-05-24_02_明细下部.jpg</ns0:v>
      </ns0:c>
      <ns0:c r="P105" s="215" t="n">
        <ns0:v>8.266666666666667</ns0:v>
      </ns0:c>
      <ns0:c r="Q105" s="230" t="n">
        <ns0:f>IF(P105&gt;=11,20%,IF(P105&gt;=10,10%,IF(P105&gt;=9,5%,0)))</ns0:f>
        <ns0:v>0</ns0:v>
      </ns0:c>
      <ns0:c r="R105" s="201" t="n">
        <ns0:f>IF(H105&gt;0,0,IF(P105&gt;=11,3,IF(P105&gt;=10,2,IF(P105&gt;=9,1,0))))</ns0:f>
        <ns0:v>0</ns0:v>
      </ns0:c>
      <ns0:c r="S105" s="201" t="n">
        <ns0:f>Q105/5%</ns0:f>
        <ns0:v>0</ns0:v>
      </ns0:c>
    </ns0:row>
    <ns0:row r="106" ht="24" customHeight="1">
      <ns0:c r="A106" s="191" t="str">
        <ns0:v>2026-05-25</ns0:v>
      </ns0:c>
      <ns0:c r="B106" s="191" t="str">
        <ns0:v>2026-05</ns0:v>
      </ns0:c>
      <ns0:c r="C106" s="191" t="str">
        <ns0:v>一</ns0:v>
      </ns0:c>
      <ns0:c r="D106" s="191" t="str">
        <ns0:v>工作日（含法定调班日）</ns0:v>
      </ns0:c>
      <ns0:c r="E106" s="191" t="str">
        <ns0:v>09:48</ns0:v>
      </ns0:c>
      <ns0:c r="F106" s="191" t="str">
        <ns0:v>21:49</ns0:v>
      </ns0:c>
      <ns0:c r="G106" s="214" t="n">
        <ns0:v>181</ns0:v>
      </ns0:c>
      <ns0:c r="H106" s="214" t="n">
        <ns0:v>0</ns0:v>
      </ns0:c>
      <ns0:c r="I106" s="192" t="n">
        <ns0:f>G106/60*'核算总览'!$B$3/(21.75*8)*1.5</ns0:f>
        <ns0:v>633.4786463920817</ns0:v>
      </ns0:c>
      <ns0:c r="J106" s="192"/>
      <ns0:c r="K106" s="192"/>
      <ns0:c r="L106" s="192"/>
      <ns0:c r="M106" s="191" t="str"/>
      <ns0:c r="N106" s="191" t="str">
        <ns0:v>/Users/a./Desktop/飞书考勤留存_2026-10-27/逐日原始打卡截图与汇总_2026-10-27/原始截图/2026-05-25_01_日历与上部.jpg</ns0:v>
      </ns0:c>
      <ns0:c r="O106" s="191" t="str">
        <ns0:v>/Users/a./Desktop/飞书考勤留存_2026-10-27/逐日原始打卡截图与汇总_2026-10-27/原始截图/2026-05-25_02_明细下部.jpg</ns0:v>
      </ns0:c>
      <ns0:c r="P106" s="215" t="n">
        <ns0:v>11.016666666666667</ns0:v>
      </ns0:c>
      <ns0:c r="Q106" s="230" t="n">
        <ns0:f>IF(P106&gt;=11,20%,IF(P106&gt;=10,10%,IF(P106&gt;=9,5%,0)))</ns0:f>
        <ns0:v>0.2</ns0:v>
      </ns0:c>
      <ns0:c r="R106" s="201" t="n">
        <ns0:f>IF(H106&gt;0,0,IF(P106&gt;=11,3,IF(P106&gt;=10,2,IF(P106&gt;=9,1,0))))</ns0:f>
        <ns0:v>3</ns0:v>
      </ns0:c>
      <ns0:c r="S106" s="201" t="n">
        <ns0:f>Q106/5%</ns0:f>
        <ns0:v>4</ns0:v>
      </ns0:c>
    </ns0:row>
    <ns0:row r="107" ht="24" customHeight="1">
      <ns0:c r="A107" s="191" t="str">
        <ns0:v>2026-05-26</ns0:v>
      </ns0:c>
      <ns0:c r="B107" s="191" t="str">
        <ns0:v>2026-05</ns0:v>
      </ns0:c>
      <ns0:c r="C107" s="191" t="str">
        <ns0:v>二</ns0:v>
      </ns0:c>
      <ns0:c r="D107" s="191" t="str">
        <ns0:v>工作日（含法定调班日）</ns0:v>
      </ns0:c>
      <ns0:c r="E107" s="191" t="str">
        <ns0:v>09:54</ns0:v>
      </ns0:c>
      <ns0:c r="F107" s="191" t="str">
        <ns0:v>20:20</ns0:v>
      </ns0:c>
      <ns0:c r="G107" s="214" t="n">
        <ns0:v>86</ns0:v>
      </ns0:c>
      <ns0:c r="H107" s="214" t="n">
        <ns0:v>0</ns0:v>
      </ns0:c>
      <ns0:c r="I107" s="192" t="n">
        <ns0:f>G107/60*'核算总览'!$B$3/(21.75*8)*1.5</ns0:f>
        <ns0:v>300.9898540868454</ns0:v>
      </ns0:c>
      <ns0:c r="J107" s="192"/>
      <ns0:c r="K107" s="192"/>
      <ns0:c r="L107" s="192"/>
      <ns0:c r="M107" s="191" t="str"/>
      <ns0:c r="N107" s="191" t="str">
        <ns0:v>/Users/a./Desktop/飞书考勤留存_2026-10-27/逐日原始打卡截图与汇总_2026-10-27/原始截图/2026-05-26_01_日历与上部.jpg</ns0:v>
      </ns0:c>
      <ns0:c r="O107" s="191" t="str">
        <ns0:v>/Users/a./Desktop/飞书考勤留存_2026-10-27/逐日原始打卡截图与汇总_2026-10-27/原始截图/2026-05-26_02_明细下部.jpg</ns0:v>
      </ns0:c>
      <ns0:c r="P107" s="215" t="n">
        <ns0:v>9.433333333333334</ns0:v>
      </ns0:c>
      <ns0:c r="Q107" s="230" t="n">
        <ns0:f>IF(P107&gt;=11,20%,IF(P107&gt;=10,10%,IF(P107&gt;=9,5%,0)))</ns0:f>
        <ns0:v>0.05</ns0:v>
      </ns0:c>
      <ns0:c r="R107" s="201" t="n">
        <ns0:f>IF(H107&gt;0,0,IF(P107&gt;=11,3,IF(P107&gt;=10,2,IF(P107&gt;=9,1,0))))</ns0:f>
        <ns0:v>1</ns0:v>
      </ns0:c>
      <ns0:c r="S107" s="201" t="n">
        <ns0:f>Q107/5%</ns0:f>
        <ns0:v>1</ns0:v>
      </ns0:c>
    </ns0:row>
    <ns0:row r="108" ht="24" customHeight="1">
      <ns0:c r="A108" s="191" t="str">
        <ns0:v>2026-05-27</ns0:v>
      </ns0:c>
      <ns0:c r="B108" s="191" t="str">
        <ns0:v>2026-05</ns0:v>
      </ns0:c>
      <ns0:c r="C108" s="191" t="str">
        <ns0:v>三</ns0:v>
      </ns0:c>
      <ns0:c r="D108" s="191" t="str">
        <ns0:v>工作日（含法定调班日）</ns0:v>
      </ns0:c>
      <ns0:c r="E108" s="191" t="str">
        <ns0:v>09:52</ns0:v>
      </ns0:c>
      <ns0:c r="F108" s="191" t="str">
        <ns0:v>19:53</ns0:v>
      </ns0:c>
      <ns0:c r="G108" s="214" t="n">
        <ns0:v>61</ns0:v>
      </ns0:c>
      <ns0:c r="H108" s="214" t="n">
        <ns0:v>0</ns0:v>
      </ns0:c>
      <ns0:c r="I108" s="192" t="n">
        <ns0:f>G108/60*'核算总览'!$B$3/(21.75*8)*1.5</ns0:f>
        <ns0:v>213.49280348020432</ns0:v>
      </ns0:c>
      <ns0:c r="J108" s="192"/>
      <ns0:c r="K108" s="192"/>
      <ns0:c r="L108" s="192"/>
      <ns0:c r="M108" s="191" t="str"/>
      <ns0:c r="N108" s="191" t="str">
        <ns0:v>/Users/a./Desktop/飞书考勤留存_2026-10-27/逐日原始打卡截图与汇总_2026-10-27/原始截图/2026-05-27_01_日历与上部.jpg</ns0:v>
      </ns0:c>
      <ns0:c r="O108" s="191" t="str">
        <ns0:v>/Users/a./Desktop/飞书考勤留存_2026-10-27/逐日原始打卡截图与汇总_2026-10-27/原始截图/2026-05-27_02_明细下部.jpg</ns0:v>
      </ns0:c>
      <ns0:c r="P108" s="215" t="n">
        <ns0:v>9.016666666666667</ns0:v>
      </ns0:c>
      <ns0:c r="Q108" s="230" t="n">
        <ns0:f>IF(P108&gt;=11,20%,IF(P108&gt;=10,10%,IF(P108&gt;=9,5%,0)))</ns0:f>
        <ns0:v>0.05</ns0:v>
      </ns0:c>
      <ns0:c r="R108" s="201" t="n">
        <ns0:f>IF(H108&gt;0,0,IF(P108&gt;=11,3,IF(P108&gt;=10,2,IF(P108&gt;=9,1,0))))</ns0:f>
        <ns0:v>1</ns0:v>
      </ns0:c>
      <ns0:c r="S108" s="201" t="n">
        <ns0:f>Q108/5%</ns0:f>
        <ns0:v>1</ns0:v>
      </ns0:c>
    </ns0:row>
    <ns0:row r="109" ht="24" customHeight="1">
      <ns0:c r="A109" s="191" t="str">
        <ns0:v>2026-05-28</ns0:v>
      </ns0:c>
      <ns0:c r="B109" s="191" t="str">
        <ns0:v>2026-05</ns0:v>
      </ns0:c>
      <ns0:c r="C109" s="191" t="str">
        <ns0:v>四</ns0:v>
      </ns0:c>
      <ns0:c r="D109" s="191" t="str">
        <ns0:v>工作日（含法定调班日）</ns0:v>
      </ns0:c>
      <ns0:c r="E109" s="191" t="str">
        <ns0:v>09:54</ns0:v>
      </ns0:c>
      <ns0:c r="F109" s="191" t="str">
        <ns0:v>20:04</ns0:v>
      </ns0:c>
      <ns0:c r="G109" s="214" t="n">
        <ns0:v>70</ns0:v>
      </ns0:c>
      <ns0:c r="H109" s="214" t="n">
        <ns0:v>0</ns0:v>
      </ns0:c>
      <ns0:c r="I109" s="192" t="n">
        <ns0:f>G109/60*'核算总览'!$B$3/(21.75*8)*1.5</ns0:f>
        <ns0:v>244.99174169859515</ns0:v>
      </ns0:c>
      <ns0:c r="J109" s="192"/>
      <ns0:c r="K109" s="192"/>
      <ns0:c r="L109" s="192"/>
      <ns0:c r="M109" s="191" t="str"/>
      <ns0:c r="N109" s="191" t="str">
        <ns0:v>/Users/a./Desktop/飞书考勤留存_2026-10-27/逐日原始打卡截图与汇总_2026-10-27/原始截图/2026-05-28_01_日历与上部.jpg</ns0:v>
      </ns0:c>
      <ns0:c r="O109" s="191" t="str">
        <ns0:v>/Users/a./Desktop/飞书考勤留存_2026-10-27/逐日原始打卡截图与汇总_2026-10-27/原始截图/2026-05-28_02_明细下部.jpg</ns0:v>
      </ns0:c>
      <ns0:c r="P109" s="215" t="n">
        <ns0:v>9.166666666666666</ns0:v>
      </ns0:c>
      <ns0:c r="Q109" s="230" t="n">
        <ns0:f>IF(P109&gt;=11,20%,IF(P109&gt;=10,10%,IF(P109&gt;=9,5%,0)))</ns0:f>
        <ns0:v>0.05</ns0:v>
      </ns0:c>
      <ns0:c r="R109" s="201" t="n">
        <ns0:f>IF(H109&gt;0,0,IF(P109&gt;=11,3,IF(P109&gt;=10,2,IF(P109&gt;=9,1,0))))</ns0:f>
        <ns0:v>1</ns0:v>
      </ns0:c>
      <ns0:c r="S109" s="201" t="n">
        <ns0:f>Q109/5%</ns0:f>
        <ns0:v>1</ns0:v>
      </ns0:c>
    </ns0:row>
    <ns0:row r="110" ht="24" customHeight="1">
      <ns0:c r="A110" s="191" t="str">
        <ns0:v>2026-05-29</ns0:v>
      </ns0:c>
      <ns0:c r="B110" s="191" t="str">
        <ns0:v>2026-05</ns0:v>
      </ns0:c>
      <ns0:c r="C110" s="191" t="str">
        <ns0:v>五</ns0:v>
      </ns0:c>
      <ns0:c r="D110" s="191" t="str">
        <ns0:v>工作日（含法定调班日）</ns0:v>
      </ns0:c>
      <ns0:c r="E110" s="191" t="str">
        <ns0:v>09:51</ns0:v>
      </ns0:c>
      <ns0:c r="F110" s="191" t="str">
        <ns0:v>18:51</ns0:v>
      </ns0:c>
      <ns0:c r="G110" s="214" t="n">
        <ns0:v>0</ns0:v>
      </ns0:c>
      <ns0:c r="H110" s="214" t="n">
        <ns0:v>0</ns0:v>
      </ns0:c>
      <ns0:c r="I110" s="192" t="n">
        <ns0:f>G110/60*'核算总览'!$B$3/(21.75*8)*1.5</ns0:f>
        <ns0:v>0</ns0:v>
      </ns0:c>
      <ns0:c r="J110" s="192"/>
      <ns0:c r="K110" s="192"/>
      <ns0:c r="L110" s="192"/>
      <ns0:c r="M110" s="191" t="str"/>
      <ns0:c r="N110" s="191" t="str">
        <ns0:v>/Users/a./Desktop/飞书考勤留存_2026-10-27/逐日原始打卡截图与汇总_2026-10-27/原始截图/2026-05-29_01_日历与上部.jpg</ns0:v>
      </ns0:c>
      <ns0:c r="O110" s="191" t="str">
        <ns0:v>/Users/a./Desktop/飞书考勤留存_2026-10-27/逐日原始打卡截图与汇总_2026-10-27/原始截图/2026-05-29_02_明细下部.jpg</ns0:v>
      </ns0:c>
      <ns0:c r="P110" s="215" t="n">
        <ns0:v>8</ns0:v>
      </ns0:c>
      <ns0:c r="Q110" s="230" t="n">
        <ns0:f>IF(P110&gt;=11,20%,IF(P110&gt;=10,10%,IF(P110&gt;=9,5%,0)))</ns0:f>
        <ns0:v>0</ns0:v>
      </ns0:c>
      <ns0:c r="R110" s="201" t="n">
        <ns0:f>IF(H110&gt;0,0,IF(P110&gt;=11,3,IF(P110&gt;=10,2,IF(P110&gt;=9,1,0))))</ns0:f>
        <ns0:v>0</ns0:v>
      </ns0:c>
      <ns0:c r="S110" s="201" t="n">
        <ns0:f>Q110/5%</ns0:f>
        <ns0:v>0</ns0:v>
      </ns0:c>
    </ns0:row>
    <ns0:row r="111" ht="24" customHeight="1">
      <ns0:c r="A111" s="191" t="str">
        <ns0:v>2026-06-01</ns0:v>
      </ns0:c>
      <ns0:c r="B111" s="191" t="str">
        <ns0:v>2026-06</ns0:v>
      </ns0:c>
      <ns0:c r="C111" s="191" t="str">
        <ns0:v>一</ns0:v>
      </ns0:c>
      <ns0:c r="D111" s="191" t="str">
        <ns0:v>工作日（含法定调班日）</ns0:v>
      </ns0:c>
      <ns0:c r="E111" s="191" t="str">
        <ns0:v>09:51</ns0:v>
      </ns0:c>
      <ns0:c r="F111" s="191" t="str">
        <ns0:v>20:01</ns0:v>
      </ns0:c>
      <ns0:c r="G111" s="214" t="n">
        <ns0:v>70</ns0:v>
      </ns0:c>
      <ns0:c r="H111" s="214" t="n">
        <ns0:v>0</ns0:v>
      </ns0:c>
      <ns0:c r="I111" s="192" t="n">
        <ns0:f>G111/60*'核算总览'!$B$3/(21.75*8)*1.5</ns0:f>
        <ns0:v>244.99174169859515</ns0:v>
      </ns0:c>
      <ns0:c r="J111" s="192"/>
      <ns0:c r="K111" s="192"/>
      <ns0:c r="L111" s="192"/>
      <ns0:c r="M111" s="191" t="str"/>
      <ns0:c r="N111" s="191" t="str">
        <ns0:v>/Users/a./Desktop/飞书考勤留存_2026-10-27/逐日原始打卡截图与汇总_2026-10-27/原始截图/2026-06-01_01_日历与上部.jpg</ns0:v>
      </ns0:c>
      <ns0:c r="O111" s="191" t="str">
        <ns0:v>/Users/a./Desktop/飞书考勤留存_2026-10-27/逐日原始打卡截图与汇总_2026-10-27/原始截图/2026-06-01_02_明细下部.jpg</ns0:v>
      </ns0:c>
      <ns0:c r="P111" s="215" t="n">
        <ns0:v>9.166666666666666</ns0:v>
      </ns0:c>
      <ns0:c r="Q111" s="230" t="n">
        <ns0:f>IF(P111&gt;=11,20%,IF(P111&gt;=10,10%,IF(P111&gt;=9,5%,0)))</ns0:f>
        <ns0:v>0.05</ns0:v>
      </ns0:c>
      <ns0:c r="R111" s="201" t="n">
        <ns0:f>IF(H111&gt;0,0,IF(P111&gt;=11,3,IF(P111&gt;=10,2,IF(P111&gt;=9,1,0))))</ns0:f>
        <ns0:v>1</ns0:v>
      </ns0:c>
      <ns0:c r="S111" s="201" t="n">
        <ns0:f>Q111/5%</ns0:f>
        <ns0:v>1</ns0:v>
      </ns0:c>
    </ns0:row>
    <ns0:row r="112" ht="24" customHeight="1">
      <ns0:c r="A112" s="191" t="str">
        <ns0:v>2026-06-02</ns0:v>
      </ns0:c>
      <ns0:c r="B112" s="191" t="str">
        <ns0:v>2026-06</ns0:v>
      </ns0:c>
      <ns0:c r="C112" s="191" t="str">
        <ns0:v>二</ns0:v>
      </ns0:c>
      <ns0:c r="D112" s="191" t="str">
        <ns0:v>工作日（含法定调班日）</ns0:v>
      </ns0:c>
      <ns0:c r="E112" s="191" t="str">
        <ns0:v>09:52</ns0:v>
      </ns0:c>
      <ns0:c r="F112" s="191" t="str">
        <ns0:v>20:00</ns0:v>
      </ns0:c>
      <ns0:c r="G112" s="214" t="n">
        <ns0:v>68</ns0:v>
      </ns0:c>
      <ns0:c r="H112" s="214" t="n">
        <ns0:v>0</ns0:v>
      </ns0:c>
      <ns0:c r="I112" s="192" t="n">
        <ns0:f>G112/60*'核算总览'!$B$3/(21.75*8)*1.5</ns0:f>
        <ns0:v>237.99197765006386</ns0:v>
      </ns0:c>
      <ns0:c r="J112" s="192"/>
      <ns0:c r="K112" s="192"/>
      <ns0:c r="L112" s="192"/>
      <ns0:c r="M112" s="191" t="str"/>
      <ns0:c r="N112" s="191" t="str">
        <ns0:v>/Users/a./Desktop/飞书考勤留存_2026-10-27/逐日原始打卡截图与汇总_2026-10-27/原始截图/2026-06-02_01_日历与上部.jpg</ns0:v>
      </ns0:c>
      <ns0:c r="O112" s="191" t="str">
        <ns0:v>/Users/a./Desktop/飞书考勤留存_2026-10-27/逐日原始打卡截图与汇总_2026-10-27/原始截图/2026-06-02_02_明细下部.jpg</ns0:v>
      </ns0:c>
      <ns0:c r="P112" s="215" t="n">
        <ns0:v>9.133333333333333</ns0:v>
      </ns0:c>
      <ns0:c r="Q112" s="230" t="n">
        <ns0:f>IF(P112&gt;=11,20%,IF(P112&gt;=10,10%,IF(P112&gt;=9,5%,0)))</ns0:f>
        <ns0:v>0.05</ns0:v>
      </ns0:c>
      <ns0:c r="R112" s="201" t="n">
        <ns0:f>IF(H112&gt;0,0,IF(P112&gt;=11,3,IF(P112&gt;=10,2,IF(P112&gt;=9,1,0))))</ns0:f>
        <ns0:v>1</ns0:v>
      </ns0:c>
      <ns0:c r="S112" s="201" t="n">
        <ns0:f>Q112/5%</ns0:f>
        <ns0:v>1</ns0:v>
      </ns0:c>
    </ns0:row>
    <ns0:row r="113" ht="24" customHeight="1">
      <ns0:c r="A113" s="191" t="str">
        <ns0:v>2026-06-03</ns0:v>
      </ns0:c>
      <ns0:c r="B113" s="191" t="str">
        <ns0:v>2026-06</ns0:v>
      </ns0:c>
      <ns0:c r="C113" s="191" t="str">
        <ns0:v>三</ns0:v>
      </ns0:c>
      <ns0:c r="D113" s="191" t="str">
        <ns0:v>工作日（含法定调班日）</ns0:v>
      </ns0:c>
      <ns0:c r="E113" s="191" t="str">
        <ns0:v>09:50</ns0:v>
      </ns0:c>
      <ns0:c r="F113" s="191" t="str">
        <ns0:v>19:58</ns0:v>
      </ns0:c>
      <ns0:c r="G113" s="214" t="n">
        <ns0:v>68</ns0:v>
      </ns0:c>
      <ns0:c r="H113" s="214" t="n">
        <ns0:v>0</ns0:v>
      </ns0:c>
      <ns0:c r="I113" s="192" t="n">
        <ns0:f>G113/60*'核算总览'!$B$3/(21.75*8)*1.5</ns0:f>
        <ns0:v>237.99197765006386</ns0:v>
      </ns0:c>
      <ns0:c r="J113" s="192"/>
      <ns0:c r="K113" s="192"/>
      <ns0:c r="L113" s="192"/>
      <ns0:c r="M113" s="191" t="str"/>
      <ns0:c r="N113" s="191" t="str">
        <ns0:v>/Users/a./Desktop/飞书考勤留存_2026-10-27/逐日原始打卡截图与汇总_2026-10-27/原始截图/2026-06-03_01_日历与上部.jpg</ns0:v>
      </ns0:c>
      <ns0:c r="O113" s="191" t="str">
        <ns0:v>/Users/a./Desktop/飞书考勤留存_2026-10-27/逐日原始打卡截图与汇总_2026-10-27/原始截图/2026-06-03_02_明细下部.jpg</ns0:v>
      </ns0:c>
      <ns0:c r="P113" s="215" t="n">
        <ns0:v>9.133333333333333</ns0:v>
      </ns0:c>
      <ns0:c r="Q113" s="230" t="n">
        <ns0:f>IF(P113&gt;=11,20%,IF(P113&gt;=10,10%,IF(P113&gt;=9,5%,0)))</ns0:f>
        <ns0:v>0.05</ns0:v>
      </ns0:c>
      <ns0:c r="R113" s="201" t="n">
        <ns0:f>IF(H113&gt;0,0,IF(P113&gt;=11,3,IF(P113&gt;=10,2,IF(P113&gt;=9,1,0))))</ns0:f>
        <ns0:v>1</ns0:v>
      </ns0:c>
      <ns0:c r="S113" s="201" t="n">
        <ns0:f>Q113/5%</ns0:f>
        <ns0:v>1</ns0:v>
      </ns0:c>
    </ns0:row>
    <ns0:row r="114" ht="24" customHeight="1">
      <ns0:c r="A114" s="191" t="str">
        <ns0:v>2026-06-04</ns0:v>
      </ns0:c>
      <ns0:c r="B114" s="191" t="str">
        <ns0:v>2026-06</ns0:v>
      </ns0:c>
      <ns0:c r="C114" s="191" t="str">
        <ns0:v>四</ns0:v>
      </ns0:c>
      <ns0:c r="D114" s="191" t="str">
        <ns0:v>工作日（含法定调班日）</ns0:v>
      </ns0:c>
      <ns0:c r="E114" s="191" t="str">
        <ns0:v>09:53</ns0:v>
      </ns0:c>
      <ns0:c r="F114" s="191" t="str">
        <ns0:v>19:53</ns0:v>
      </ns0:c>
      <ns0:c r="G114" s="214" t="n">
        <ns0:v>60</ns0:v>
      </ns0:c>
      <ns0:c r="H114" s="214" t="n">
        <ns0:v>0</ns0:v>
      </ns0:c>
      <ns0:c r="I114" s="192" t="n">
        <ns0:f>G114/60*'核算总览'!$B$3/(21.75*8)*1.5</ns0:f>
        <ns0:v>209.9929214559387</ns0:v>
      </ns0:c>
      <ns0:c r="J114" s="192"/>
      <ns0:c r="K114" s="192"/>
      <ns0:c r="L114" s="192"/>
      <ns0:c r="M114" s="191" t="str"/>
      <ns0:c r="N114" s="191" t="str">
        <ns0:v>/Users/a./Desktop/飞书考勤留存_2026-10-27/逐日原始打卡截图与汇总_2026-10-27/原始截图/2026-06-04_01_日历与上部.jpg</ns0:v>
      </ns0:c>
      <ns0:c r="O114" s="191" t="str">
        <ns0:v>/Users/a./Desktop/飞书考勤留存_2026-10-27/逐日原始打卡截图与汇总_2026-10-27/原始截图/2026-06-04_02_明细下部.jpg</ns0:v>
      </ns0:c>
      <ns0:c r="P114" s="215" t="n">
        <ns0:v>9</ns0:v>
      </ns0:c>
      <ns0:c r="Q114" s="230" t="n">
        <ns0:f>IF(P114&gt;=11,20%,IF(P114&gt;=10,10%,IF(P114&gt;=9,5%,0)))</ns0:f>
        <ns0:v>0.05</ns0:v>
      </ns0:c>
      <ns0:c r="R114" s="201" t="n">
        <ns0:f>IF(H114&gt;0,0,IF(P114&gt;=11,3,IF(P114&gt;=10,2,IF(P114&gt;=9,1,0))))</ns0:f>
        <ns0:v>1</ns0:v>
      </ns0:c>
      <ns0:c r="S114" s="201" t="n">
        <ns0:f>Q114/5%</ns0:f>
        <ns0:v>1</ns0:v>
      </ns0:c>
    </ns0:row>
    <ns0:row r="115" ht="24" customHeight="1">
      <ns0:c r="A115" s="191" t="str">
        <ns0:v>2026-06-05</ns0:v>
      </ns0:c>
      <ns0:c r="B115" s="191" t="str">
        <ns0:v>2026-06</ns0:v>
      </ns0:c>
      <ns0:c r="C115" s="191" t="str">
        <ns0:v>五</ns0:v>
      </ns0:c>
      <ns0:c r="D115" s="191" t="str">
        <ns0:v>工作日（含法定调班日）</ns0:v>
      </ns0:c>
      <ns0:c r="E115" s="191" t="str">
        <ns0:v>09:52</ns0:v>
      </ns0:c>
      <ns0:c r="F115" s="191" t="str">
        <ns0:v>18:53</ns0:v>
      </ns0:c>
      <ns0:c r="G115" s="214" t="n">
        <ns0:v>1</ns0:v>
      </ns0:c>
      <ns0:c r="H115" s="214" t="n">
        <ns0:v>0</ns0:v>
      </ns0:c>
      <ns0:c r="I115" s="192" t="n">
        <ns0:f>G115/60*'核算总览'!$B$3/(21.75*8)*1.5</ns0:f>
        <ns0:v>3.499882024265645</ns0:v>
      </ns0:c>
      <ns0:c r="J115" s="192"/>
      <ns0:c r="K115" s="192"/>
      <ns0:c r="L115" s="192"/>
      <ns0:c r="M115" s="191" t="str"/>
      <ns0:c r="N115" s="191" t="str">
        <ns0:v>/Users/a./Desktop/飞书考勤留存_2026-10-27/逐日原始打卡截图与汇总_2026-10-27/原始截图/2026-06-05_01_日历与上部.jpg</ns0:v>
      </ns0:c>
      <ns0:c r="O115" s="191" t="str">
        <ns0:v>/Users/a./Desktop/飞书考勤留存_2026-10-27/逐日原始打卡截图与汇总_2026-10-27/原始截图/2026-06-05_02_明细下部.jpg</ns0:v>
      </ns0:c>
      <ns0:c r="P115" s="215" t="n">
        <ns0:v>8.016666666666667</ns0:v>
      </ns0:c>
      <ns0:c r="Q115" s="230" t="n">
        <ns0:f>IF(P115&gt;=11,20%,IF(P115&gt;=10,10%,IF(P115&gt;=9,5%,0)))</ns0:f>
        <ns0:v>0</ns0:v>
      </ns0:c>
      <ns0:c r="R115" s="201" t="n">
        <ns0:f>IF(H115&gt;0,0,IF(P115&gt;=11,3,IF(P115&gt;=10,2,IF(P115&gt;=9,1,0))))</ns0:f>
        <ns0:v>0</ns0:v>
      </ns0:c>
      <ns0:c r="S115" s="201" t="n">
        <ns0:f>Q115/5%</ns0:f>
        <ns0:v>0</ns0:v>
      </ns0:c>
    </ns0:row>
    <ns0:row r="116" ht="24" customHeight="1">
      <ns0:c r="A116" s="191" t="str">
        <ns0:v>2026-06-08</ns0:v>
      </ns0:c>
      <ns0:c r="B116" s="191" t="str">
        <ns0:v>2026-06</ns0:v>
      </ns0:c>
      <ns0:c r="C116" s="191" t="str">
        <ns0:v>一</ns0:v>
      </ns0:c>
      <ns0:c r="D116" s="191" t="str">
        <ns0:v>工作日（含法定调班日）</ns0:v>
      </ns0:c>
      <ns0:c r="E116" s="191" t="str">
        <ns0:v>09:54</ns0:v>
      </ns0:c>
      <ns0:c r="F116" s="191" t="str">
        <ns0:v>19:55</ns0:v>
      </ns0:c>
      <ns0:c r="G116" s="214" t="n">
        <ns0:v>61</ns0:v>
      </ns0:c>
      <ns0:c r="H116" s="214" t="n">
        <ns0:v>0</ns0:v>
      </ns0:c>
      <ns0:c r="I116" s="192" t="n">
        <ns0:f>G116/60*'核算总览'!$B$3/(21.75*8)*1.5</ns0:f>
        <ns0:v>213.49280348020432</ns0:v>
      </ns0:c>
      <ns0:c r="J116" s="192"/>
      <ns0:c r="K116" s="192"/>
      <ns0:c r="L116" s="192"/>
      <ns0:c r="M116" s="191" t="str"/>
      <ns0:c r="N116" s="191" t="str">
        <ns0:v>/Users/a./Desktop/飞书考勤留存_2026-10-27/逐日原始打卡截图与汇总_2026-10-27/原始截图/2026-06-08_01_日历与上部.jpg</ns0:v>
      </ns0:c>
      <ns0:c r="O116" s="191" t="str">
        <ns0:v>/Users/a./Desktop/飞书考勤留存_2026-10-27/逐日原始打卡截图与汇总_2026-10-27/原始截图/2026-06-08_02_明细下部.jpg</ns0:v>
      </ns0:c>
      <ns0:c r="P116" s="215" t="n">
        <ns0:v>9.016666666666667</ns0:v>
      </ns0:c>
      <ns0:c r="Q116" s="230" t="n">
        <ns0:f>IF(P116&gt;=11,20%,IF(P116&gt;=10,10%,IF(P116&gt;=9,5%,0)))</ns0:f>
        <ns0:v>0.05</ns0:v>
      </ns0:c>
      <ns0:c r="R116" s="201" t="n">
        <ns0:f>IF(H116&gt;0,0,IF(P116&gt;=11,3,IF(P116&gt;=10,2,IF(P116&gt;=9,1,0))))</ns0:f>
        <ns0:v>1</ns0:v>
      </ns0:c>
      <ns0:c r="S116" s="201" t="n">
        <ns0:f>Q116/5%</ns0:f>
        <ns0:v>1</ns0:v>
      </ns0:c>
    </ns0:row>
    <ns0:row r="117" ht="24" customHeight="1">
      <ns0:c r="A117" s="191" t="str">
        <ns0:v>2026-06-09</ns0:v>
      </ns0:c>
      <ns0:c r="B117" s="191" t="str">
        <ns0:v>2026-06</ns0:v>
      </ns0:c>
      <ns0:c r="C117" s="191" t="str">
        <ns0:v>二</ns0:v>
      </ns0:c>
      <ns0:c r="D117" s="191" t="str">
        <ns0:v>工作日（含法定调班日）</ns0:v>
      </ns0:c>
      <ns0:c r="E117" s="191" t="str">
        <ns0:v>09:54</ns0:v>
      </ns0:c>
      <ns0:c r="F117" s="191" t="str">
        <ns0:v>22:00</ns0:v>
      </ns0:c>
      <ns0:c r="G117" s="214" t="n">
        <ns0:v>186</ns0:v>
      </ns0:c>
      <ns0:c r="H117" s="214" t="n">
        <ns0:v>0</ns0:v>
      </ns0:c>
      <ns0:c r="I117" s="192" t="n">
        <ns0:f>G117/60*'核算总览'!$B$3/(21.75*8)*1.5</ns0:f>
        <ns0:v>650.9780565134099</ns0:v>
      </ns0:c>
      <ns0:c r="J117" s="192"/>
      <ns0:c r="K117" s="192"/>
      <ns0:c r="L117" s="192"/>
      <ns0:c r="M117" s="191" t="str"/>
      <ns0:c r="N117" s="191" t="str">
        <ns0:v>/Users/a./Desktop/飞书考勤留存_2026-10-27/逐日原始打卡截图与汇总_2026-10-27/原始截图/2026-06-09_01_日历与上部.jpg</ns0:v>
      </ns0:c>
      <ns0:c r="O117" s="191" t="str">
        <ns0:v>/Users/a./Desktop/飞书考勤留存_2026-10-27/逐日原始打卡截图与汇总_2026-10-27/原始截图/2026-06-09_02_明细下部.jpg</ns0:v>
      </ns0:c>
      <ns0:c r="P117" s="215" t="n">
        <ns0:v>11.1</ns0:v>
      </ns0:c>
      <ns0:c r="Q117" s="230" t="n">
        <ns0:f>IF(P117&gt;=11,20%,IF(P117&gt;=10,10%,IF(P117&gt;=9,5%,0)))</ns0:f>
        <ns0:v>0.2</ns0:v>
      </ns0:c>
      <ns0:c r="R117" s="201" t="n">
        <ns0:f>IF(H117&gt;0,0,IF(P117&gt;=11,3,IF(P117&gt;=10,2,IF(P117&gt;=9,1,0))))</ns0:f>
        <ns0:v>3</ns0:v>
      </ns0:c>
      <ns0:c r="S117" s="201" t="n">
        <ns0:f>Q117/5%</ns0:f>
        <ns0:v>4</ns0:v>
      </ns0:c>
    </ns0:row>
    <ns0:row r="118" ht="24" customHeight="1">
      <ns0:c r="A118" s="191" t="str">
        <ns0:v>2026-06-10</ns0:v>
      </ns0:c>
      <ns0:c r="B118" s="191" t="str">
        <ns0:v>2026-06</ns0:v>
      </ns0:c>
      <ns0:c r="C118" s="191" t="str">
        <ns0:v>三</ns0:v>
      </ns0:c>
      <ns0:c r="D118" s="191" t="str">
        <ns0:v>工作日（含法定调班日）</ns0:v>
      </ns0:c>
      <ns0:c r="E118" s="191" t="str">
        <ns0:v>09:54</ns0:v>
      </ns0:c>
      <ns0:c r="F118" s="191" t="str">
        <ns0:v>20:03</ns0:v>
      </ns0:c>
      <ns0:c r="G118" s="214" t="n">
        <ns0:v>69</ns0:v>
      </ns0:c>
      <ns0:c r="H118" s="214" t="n">
        <ns0:v>0</ns0:v>
      </ns0:c>
      <ns0:c r="I118" s="192" t="n">
        <ns0:f>G118/60*'核算总览'!$B$3/(21.75*8)*1.5</ns0:f>
        <ns0:v>241.49185967432948</ns0:v>
      </ns0:c>
      <ns0:c r="J118" s="192"/>
      <ns0:c r="K118" s="192"/>
      <ns0:c r="L118" s="192"/>
      <ns0:c r="M118" s="191" t="str"/>
      <ns0:c r="N118" s="191" t="str">
        <ns0:v>/Users/a./Desktop/飞书考勤留存_2026-10-27/逐日原始打卡截图与汇总_2026-10-27/原始截图/2026-06-10_01_日历与上部.jpg</ns0:v>
      </ns0:c>
      <ns0:c r="O118" s="191" t="str">
        <ns0:v>/Users/a./Desktop/飞书考勤留存_2026-10-27/逐日原始打卡截图与汇总_2026-10-27/原始截图/2026-06-10_02_明细下部.jpg</ns0:v>
      </ns0:c>
      <ns0:c r="P118" s="215" t="n">
        <ns0:v>9.15</ns0:v>
      </ns0:c>
      <ns0:c r="Q118" s="230" t="n">
        <ns0:f>IF(P118&gt;=11,20%,IF(P118&gt;=10,10%,IF(P118&gt;=9,5%,0)))</ns0:f>
        <ns0:v>0.05</ns0:v>
      </ns0:c>
      <ns0:c r="R118" s="201" t="n">
        <ns0:f>IF(H118&gt;0,0,IF(P118&gt;=11,3,IF(P118&gt;=10,2,IF(P118&gt;=9,1,0))))</ns0:f>
        <ns0:v>1</ns0:v>
      </ns0:c>
      <ns0:c r="S118" s="201" t="n">
        <ns0:f>Q118/5%</ns0:f>
        <ns0:v>1</ns0:v>
      </ns0:c>
    </ns0:row>
    <ns0:row r="119" ht="24" customHeight="1">
      <ns0:c r="A119" s="191" t="str">
        <ns0:v>2026-06-12</ns0:v>
      </ns0:c>
      <ns0:c r="B119" s="191" t="str">
        <ns0:v>2026-06</ns0:v>
      </ns0:c>
      <ns0:c r="C119" s="191" t="str">
        <ns0:v>五</ns0:v>
      </ns0:c>
      <ns0:c r="D119" s="191" t="str">
        <ns0:v>工作日（含法定调班日）</ns0:v>
      </ns0:c>
      <ns0:c r="E119" s="191" t="str">
        <ns0:v>09:54</ns0:v>
      </ns0:c>
      <ns0:c r="F119" s="191" t="str">
        <ns0:v>19:55</ns0:v>
      </ns0:c>
      <ns0:c r="G119" s="214" t="n">
        <ns0:v>61</ns0:v>
      </ns0:c>
      <ns0:c r="H119" s="214" t="n">
        <ns0:v>0</ns0:v>
      </ns0:c>
      <ns0:c r="I119" s="192" t="n">
        <ns0:f>G119/60*'核算总览'!$B$3/(21.75*8)*1.5</ns0:f>
        <ns0:v>213.49280348020432</ns0:v>
      </ns0:c>
      <ns0:c r="J119" s="192"/>
      <ns0:c r="K119" s="192"/>
      <ns0:c r="L119" s="192"/>
      <ns0:c r="M119" s="191" t="str"/>
      <ns0:c r="N119" s="191" t="str">
        <ns0:v>/Users/a./Desktop/飞书考勤留存_2026-10-27/逐日原始打卡截图与汇总_2026-10-27/原始截图/2026-06-12_01_日历与上部.jpg</ns0:v>
      </ns0:c>
      <ns0:c r="O119" s="191" t="str">
        <ns0:v>/Users/a./Desktop/飞书考勤留存_2026-10-27/逐日原始打卡截图与汇总_2026-10-27/原始截图/2026-06-12_02_明细下部.jpg</ns0:v>
      </ns0:c>
      <ns0:c r="P119" s="215" t="n">
        <ns0:v>9.016666666666667</ns0:v>
      </ns0:c>
      <ns0:c r="Q119" s="230" t="n">
        <ns0:f>IF(P119&gt;=11,20%,IF(P119&gt;=10,10%,IF(P119&gt;=9,5%,0)))</ns0:f>
        <ns0:v>0.05</ns0:v>
      </ns0:c>
      <ns0:c r="R119" s="201" t="n">
        <ns0:f>IF(H119&gt;0,0,IF(P119&gt;=11,3,IF(P119&gt;=10,2,IF(P119&gt;=9,1,0))))</ns0:f>
        <ns0:v>1</ns0:v>
      </ns0:c>
      <ns0:c r="S119" s="201" t="n">
        <ns0:f>Q119/5%</ns0:f>
        <ns0:v>1</ns0:v>
      </ns0:c>
    </ns0:row>
    <ns0:row r="120" ht="24" customHeight="1">
      <ns0:c r="A120" s="191" t="str">
        <ns0:v>2026-06-14</ns0:v>
      </ns0:c>
      <ns0:c r="B120" s="191" t="str">
        <ns0:v>2026-06</ns0:v>
      </ns0:c>
      <ns0:c r="C120" s="191" t="str">
        <ns0:v>日</ns0:v>
      </ns0:c>
      <ns0:c r="D120" s="191" t="str">
        <ns0:v>休息日或假期</ns0:v>
      </ns0:c>
      <ns0:c r="E120" s="191" t="str">
        <ns0:v>09:54</ns0:v>
      </ns0:c>
      <ns0:c r="F120" s="191" t="str">
        <ns0:v>20:57</ns0:v>
      </ns0:c>
      <ns0:c r="G120" s="214" t="n">
        <ns0:v>0</ns0:v>
      </ns0:c>
      <ns0:c r="H120" s="214" t="n">
        <ns0:v>603</ns0:v>
      </ns0:c>
      <ns0:c r="I120" s="192" t="n">
        <ns0:f>G120/60*'核算总览'!$B$3/(21.75*8)*1.5</ns0:f>
        <ns0:v>0</ns0:v>
      </ns0:c>
      <ns0:c r="J120" s="192"/>
      <ns0:c r="K120" s="192"/>
      <ns0:c r="L120" s="192"/>
      <ns0:c r="M120" s="191" t="str"/>
      <ns0:c r="N120" s="191" t="str">
        <ns0:v>/Users/a./Desktop/飞书考勤留存_2026-10-27/逐日原始打卡截图与汇总_2026-10-27/原始截图/2026-06-14_01_日历与上部.jpg</ns0:v>
      </ns0:c>
      <ns0:c r="O120" s="191" t="str">
        <ns0:v>/Users/a./Desktop/飞书考勤留存_2026-10-27/逐日原始打卡截图与汇总_2026-10-27/原始截图/2026-06-14_02_明细下部.jpg</ns0:v>
      </ns0:c>
      <ns0:c r="P120" s="215" t="n">
        <ns0:v>10.05</ns0:v>
      </ns0:c>
      <ns0:c r="Q120" s="230" t="n">
        <ns0:f>IF(P120&gt;=11,20%,IF(P120&gt;=10,10%,IF(P120&gt;=9,5%,0)))</ns0:f>
        <ns0:v>0.1</ns0:v>
      </ns0:c>
      <ns0:c r="R120" s="201" t="n">
        <ns0:f>IF(H120&gt;0,0,IF(P120&gt;=11,3,IF(P120&gt;=10,2,IF(P120&gt;=9,1,0))))</ns0:f>
        <ns0:v>0</ns0:v>
      </ns0:c>
      <ns0:c r="S120" s="201" t="n">
        <ns0:f>Q120/5%</ns0:f>
        <ns0:v>2</ns0:v>
      </ns0:c>
    </ns0:row>
    <ns0:row r="121" ht="24" customHeight="1">
      <ns0:c r="A121" s="191" t="str">
        <ns0:v>2026-06-15</ns0:v>
      </ns0:c>
      <ns0:c r="B121" s="191" t="str">
        <ns0:v>2026-06</ns0:v>
      </ns0:c>
      <ns0:c r="C121" s="191" t="str">
        <ns0:v>一</ns0:v>
      </ns0:c>
      <ns0:c r="D121" s="191" t="str">
        <ns0:v>工作日（含法定调班日）</ns0:v>
      </ns0:c>
      <ns0:c r="E121" s="191" t="str">
        <ns0:v>09:52</ns0:v>
      </ns0:c>
      <ns0:c r="F121" s="191" t="str">
        <ns0:v>20:01</ns0:v>
      </ns0:c>
      <ns0:c r="G121" s="214" t="n">
        <ns0:v>69</ns0:v>
      </ns0:c>
      <ns0:c r="H121" s="214" t="n">
        <ns0:v>0</ns0:v>
      </ns0:c>
      <ns0:c r="I121" s="192" t="n">
        <ns0:f>G121/60*'核算总览'!$B$3/(21.75*8)*1.5</ns0:f>
        <ns0:v>241.49185967432948</ns0:v>
      </ns0:c>
      <ns0:c r="J121" s="192"/>
      <ns0:c r="K121" s="192"/>
      <ns0:c r="L121" s="192"/>
      <ns0:c r="M121" s="191" t="str"/>
      <ns0:c r="N121" s="191" t="str">
        <ns0:v>/Users/a./Desktop/飞书考勤留存_2026-10-27/逐日原始打卡截图与汇总_2026-10-27/原始截图/2026-06-15_01_日历与上部.jpg</ns0:v>
      </ns0:c>
      <ns0:c r="O121" s="191" t="str">
        <ns0:v>/Users/a./Desktop/飞书考勤留存_2026-10-27/逐日原始打卡截图与汇总_2026-10-27/原始截图/2026-06-15_02_明细下部.jpg</ns0:v>
      </ns0:c>
      <ns0:c r="P121" s="215" t="n">
        <ns0:v>9.15</ns0:v>
      </ns0:c>
      <ns0:c r="Q121" s="230" t="n">
        <ns0:f>IF(P121&gt;=11,20%,IF(P121&gt;=10,10%,IF(P121&gt;=9,5%,0)))</ns0:f>
        <ns0:v>0.05</ns0:v>
      </ns0:c>
      <ns0:c r="R121" s="201" t="n">
        <ns0:f>IF(H121&gt;0,0,IF(P121&gt;=11,3,IF(P121&gt;=10,2,IF(P121&gt;=9,1,0))))</ns0:f>
        <ns0:v>1</ns0:v>
      </ns0:c>
      <ns0:c r="S121" s="201" t="n">
        <ns0:f>Q121/5%</ns0:f>
        <ns0:v>1</ns0:v>
      </ns0:c>
    </ns0:row>
    <ns0:row r="122" ht="24" customHeight="1">
      <ns0:c r="A122" s="191" t="str">
        <ns0:v>2026-06-16</ns0:v>
      </ns0:c>
      <ns0:c r="B122" s="191" t="str">
        <ns0:v>2026-06</ns0:v>
      </ns0:c>
      <ns0:c r="C122" s="191" t="str">
        <ns0:v>二</ns0:v>
      </ns0:c>
      <ns0:c r="D122" s="191" t="str">
        <ns0:v>工作日（含法定调班日）</ns0:v>
      </ns0:c>
      <ns0:c r="E122" s="191" t="str">
        <ns0:v>09:59</ns0:v>
      </ns0:c>
      <ns0:c r="F122" s="191" t="str">
        <ns0:v>22:16</ns0:v>
      </ns0:c>
      <ns0:c r="G122" s="214" t="n">
        <ns0:v>197</ns0:v>
      </ns0:c>
      <ns0:c r="H122" s="214" t="n">
        <ns0:v>0</ns0:v>
      </ns0:c>
      <ns0:c r="I122" s="192" t="n">
        <ns0:f>G122/60*'核算总览'!$B$3/(21.75*8)*1.5</ns0:f>
        <ns0:v>689.476758780332</ns0:v>
      </ns0:c>
      <ns0:c r="J122" s="192"/>
      <ns0:c r="K122" s="192"/>
      <ns0:c r="L122" s="192"/>
      <ns0:c r="M122" s="191" t="str"/>
      <ns0:c r="N122" s="191" t="str">
        <ns0:v>/Users/a./Desktop/飞书考勤留存_2026-10-27/逐日原始打卡截图与汇总_2026-10-27/原始截图/2026-06-16_01_日历与上部.jpg</ns0:v>
      </ns0:c>
      <ns0:c r="O122" s="191" t="str">
        <ns0:v>/Users/a./Desktop/飞书考勤留存_2026-10-27/逐日原始打卡截图与汇总_2026-10-27/原始截图/2026-06-16_02_明细下部.jpg</ns0:v>
      </ns0:c>
      <ns0:c r="P122" s="215" t="n">
        <ns0:v>11.283333333333333</ns0:v>
      </ns0:c>
      <ns0:c r="Q122" s="230" t="n">
        <ns0:f>IF(P122&gt;=11,20%,IF(P122&gt;=10,10%,IF(P122&gt;=9,5%,0)))</ns0:f>
        <ns0:v>0.2</ns0:v>
      </ns0:c>
      <ns0:c r="R122" s="201" t="n">
        <ns0:f>IF(H122&gt;0,0,IF(P122&gt;=11,3,IF(P122&gt;=10,2,IF(P122&gt;=9,1,0))))</ns0:f>
        <ns0:v>3</ns0:v>
      </ns0:c>
      <ns0:c r="S122" s="201" t="n">
        <ns0:f>Q122/5%</ns0:f>
        <ns0:v>4</ns0:v>
      </ns0:c>
    </ns0:row>
    <ns0:row r="123" ht="24" customHeight="1">
      <ns0:c r="A123" s="191" t="str">
        <ns0:v>2026-06-17</ns0:v>
      </ns0:c>
      <ns0:c r="B123" s="191" t="str">
        <ns0:v>2026-06</ns0:v>
      </ns0:c>
      <ns0:c r="C123" s="191" t="str">
        <ns0:v>三</ns0:v>
      </ns0:c>
      <ns0:c r="D123" s="191" t="str">
        <ns0:v>工作日（含法定调班日）</ns0:v>
      </ns0:c>
      <ns0:c r="E123" s="191" t="str">
        <ns0:v>09:56</ns0:v>
      </ns0:c>
      <ns0:c r="F123" s="191" t="str">
        <ns0:v>20:08</ns0:v>
      </ns0:c>
      <ns0:c r="G123" s="214" t="n">
        <ns0:v>72</ns0:v>
      </ns0:c>
      <ns0:c r="H123" s="214" t="n">
        <ns0:v>0</ns0:v>
      </ns0:c>
      <ns0:c r="I123" s="192" t="n">
        <ns0:f>G123/60*'核算总览'!$B$3/(21.75*8)*1.5</ns0:f>
        <ns0:v>251.99150574712644</ns0:v>
      </ns0:c>
      <ns0:c r="J123" s="192"/>
      <ns0:c r="K123" s="192"/>
      <ns0:c r="L123" s="192"/>
      <ns0:c r="M123" s="191" t="str"/>
      <ns0:c r="N123" s="191" t="str">
        <ns0:v>/Users/a./Desktop/飞书考勤留存_2026-10-27/逐日原始打卡截图与汇总_2026-10-27/原始截图/2026-06-17_01_日历与上部.jpg</ns0:v>
      </ns0:c>
      <ns0:c r="O123" s="191" t="str">
        <ns0:v>/Users/a./Desktop/飞书考勤留存_2026-10-27/逐日原始打卡截图与汇总_2026-10-27/原始截图/2026-06-17_02_明细下部.jpg</ns0:v>
      </ns0:c>
      <ns0:c r="P123" s="215" t="n">
        <ns0:v>9.2</ns0:v>
      </ns0:c>
      <ns0:c r="Q123" s="230" t="n">
        <ns0:f>IF(P123&gt;=11,20%,IF(P123&gt;=10,10%,IF(P123&gt;=9,5%,0)))</ns0:f>
        <ns0:v>0.05</ns0:v>
      </ns0:c>
      <ns0:c r="R123" s="201" t="n">
        <ns0:f>IF(H123&gt;0,0,IF(P123&gt;=11,3,IF(P123&gt;=10,2,IF(P123&gt;=9,1,0))))</ns0:f>
        <ns0:v>1</ns0:v>
      </ns0:c>
      <ns0:c r="S123" s="201" t="n">
        <ns0:f>Q123/5%</ns0:f>
        <ns0:v>1</ns0:v>
      </ns0:c>
    </ns0:row>
    <ns0:row r="124" ht="24" customHeight="1">
      <ns0:c r="A124" s="191" t="str">
        <ns0:v>2026-06-18</ns0:v>
      </ns0:c>
      <ns0:c r="B124" s="191" t="str">
        <ns0:v>2026-06</ns0:v>
      </ns0:c>
      <ns0:c r="C124" s="191" t="str">
        <ns0:v>四</ns0:v>
      </ns0:c>
      <ns0:c r="D124" s="191" t="str">
        <ns0:v>工作日（含法定调班日）</ns0:v>
      </ns0:c>
      <ns0:c r="E124" s="191" t="str">
        <ns0:v>10:00</ns0:v>
      </ns0:c>
      <ns0:c r="F124" s="191" t="str">
        <ns0:v>19:05</ns0:v>
      </ns0:c>
      <ns0:c r="G124" s="214" t="n">
        <ns0:v>5</ns0:v>
      </ns0:c>
      <ns0:c r="H124" s="214" t="n">
        <ns0:v>0</ns0:v>
      </ns0:c>
      <ns0:c r="I124" s="192" t="n">
        <ns0:f>G124/60*'核算总览'!$B$3/(21.75*8)*1.5</ns0:f>
        <ns0:v>17.499410121328225</ns0:v>
      </ns0:c>
      <ns0:c r="J124" s="192"/>
      <ns0:c r="K124" s="192"/>
      <ns0:c r="L124" s="192"/>
      <ns0:c r="M124" s="191" t="str"/>
      <ns0:c r="N124" s="191" t="str">
        <ns0:v>/Users/a./Desktop/飞书考勤留存_2026-10-27/逐日原始打卡截图与汇总_2026-10-27/原始截图/2026-06-18_01_日历与上部.jpg</ns0:v>
      </ns0:c>
      <ns0:c r="O124" s="191" t="str">
        <ns0:v>/Users/a./Desktop/飞书考勤留存_2026-10-27/逐日原始打卡截图与汇总_2026-10-27/原始截图/2026-06-18_02_明细下部.jpg</ns0:v>
      </ns0:c>
      <ns0:c r="P124" s="215" t="n">
        <ns0:v>8.083333333333334</ns0:v>
      </ns0:c>
      <ns0:c r="Q124" s="230" t="n">
        <ns0:f>IF(P124&gt;=11,20%,IF(P124&gt;=10,10%,IF(P124&gt;=9,5%,0)))</ns0:f>
        <ns0:v>0</ns0:v>
      </ns0:c>
      <ns0:c r="R124" s="201" t="n">
        <ns0:f>IF(H124&gt;0,0,IF(P124&gt;=11,3,IF(P124&gt;=10,2,IF(P124&gt;=9,1,0))))</ns0:f>
        <ns0:v>0</ns0:v>
      </ns0:c>
      <ns0:c r="S124" s="201" t="n">
        <ns0:f>Q124/5%</ns0:f>
        <ns0:v>0</ns0:v>
      </ns0:c>
    </ns0:row>
    <ns0:row r="125" ht="24" customHeight="1">
      <ns0:c r="A125" s="191" t="str">
        <ns0:v>2026-06-22</ns0:v>
      </ns0:c>
      <ns0:c r="B125" s="191" t="str">
        <ns0:v>2026-06</ns0:v>
      </ns0:c>
      <ns0:c r="C125" s="191" t="str">
        <ns0:v>一</ns0:v>
      </ns0:c>
      <ns0:c r="D125" s="191" t="str">
        <ns0:v>工作日（含法定调班日）</ns0:v>
      </ns0:c>
      <ns0:c r="E125" s="191" t="str">
        <ns0:v>09:57</ns0:v>
      </ns0:c>
      <ns0:c r="F125" s="191" t="str">
        <ns0:v>20:00</ns0:v>
      </ns0:c>
      <ns0:c r="G125" s="214" t="n">
        <ns0:v>63</ns0:v>
      </ns0:c>
      <ns0:c r="H125" s="214" t="n">
        <ns0:v>0</ns0:v>
      </ns0:c>
      <ns0:c r="I125" s="192" t="n">
        <ns0:f>G125/60*'核算总览'!$B$3/(21.75*8)*1.5</ns0:f>
        <ns0:v>220.49256752873563</ns0:v>
      </ns0:c>
      <ns0:c r="J125" s="192"/>
      <ns0:c r="K125" s="192"/>
      <ns0:c r="L125" s="192"/>
      <ns0:c r="M125" s="191" t="str"/>
      <ns0:c r="N125" s="191" t="str">
        <ns0:v>/Users/a./Desktop/飞书考勤留存_2026-10-27/逐日原始打卡截图与汇总_2026-10-27/原始截图/2026-06-22_01_日历与上部.jpg</ns0:v>
      </ns0:c>
      <ns0:c r="O125" s="191" t="str">
        <ns0:v>/Users/a./Desktop/飞书考勤留存_2026-10-27/逐日原始打卡截图与汇总_2026-10-27/原始截图/2026-06-22_02_明细下部.jpg</ns0:v>
      </ns0:c>
      <ns0:c r="P125" s="215" t="n">
        <ns0:v>9.05</ns0:v>
      </ns0:c>
      <ns0:c r="Q125" s="230" t="n">
        <ns0:f>IF(P125&gt;=11,20%,IF(P125&gt;=10,10%,IF(P125&gt;=9,5%,0)))</ns0:f>
        <ns0:v>0.05</ns0:v>
      </ns0:c>
      <ns0:c r="R125" s="201" t="n">
        <ns0:f>IF(H125&gt;0,0,IF(P125&gt;=11,3,IF(P125&gt;=10,2,IF(P125&gt;=9,1,0))))</ns0:f>
        <ns0:v>1</ns0:v>
      </ns0:c>
      <ns0:c r="S125" s="201" t="n">
        <ns0:f>Q125/5%</ns0:f>
        <ns0:v>1</ns0:v>
      </ns0:c>
    </ns0:row>
    <ns0:row r="126" ht="24" customHeight="1">
      <ns0:c r="A126" s="191" t="str">
        <ns0:v>2026-06-24</ns0:v>
      </ns0:c>
      <ns0:c r="B126" s="191" t="str">
        <ns0:v>2026-06</ns0:v>
      </ns0:c>
      <ns0:c r="C126" s="191" t="str">
        <ns0:v>三</ns0:v>
      </ns0:c>
      <ns0:c r="D126" s="191" t="str">
        <ns0:v>工作日（含法定调班日）</ns0:v>
      </ns0:c>
      <ns0:c r="E126" s="191" t="str">
        <ns0:v>10:00</ns0:v>
      </ns0:c>
      <ns0:c r="F126" s="191" t="str">
        <ns0:v>19:03</ns0:v>
      </ns0:c>
      <ns0:c r="G126" s="214" t="n">
        <ns0:v>3</ns0:v>
      </ns0:c>
      <ns0:c r="H126" s="214" t="n">
        <ns0:v>0</ns0:v>
      </ns0:c>
      <ns0:c r="I126" s="192" t="n">
        <ns0:f>G126/60*'核算总览'!$B$3/(21.75*8)*1.5</ns0:f>
        <ns0:v>10.499646072796933</ns0:v>
      </ns0:c>
      <ns0:c r="J126" s="192"/>
      <ns0:c r="K126" s="192"/>
      <ns0:c r="L126" s="192"/>
      <ns0:c r="M126" s="191" t="str"/>
      <ns0:c r="N126" s="191" t="str">
        <ns0:v>/Users/a./Desktop/飞书考勤留存_2026-10-27/逐日原始打卡截图与汇总_2026-10-27/原始截图/2026-06-24_01_日历与上部.jpg</ns0:v>
      </ns0:c>
      <ns0:c r="O126" s="191" t="str">
        <ns0:v>/Users/a./Desktop/飞书考勤留存_2026-10-27/逐日原始打卡截图与汇总_2026-10-27/原始截图/2026-06-24_02_明细下部.jpg</ns0:v>
      </ns0:c>
      <ns0:c r="P126" s="215" t="n">
        <ns0:v>8.05</ns0:v>
      </ns0:c>
      <ns0:c r="Q126" s="230" t="n">
        <ns0:f>IF(P126&gt;=11,20%,IF(P126&gt;=10,10%,IF(P126&gt;=9,5%,0)))</ns0:f>
        <ns0:v>0</ns0:v>
      </ns0:c>
      <ns0:c r="R126" s="201" t="n">
        <ns0:f>IF(H126&gt;0,0,IF(P126&gt;=11,3,IF(P126&gt;=10,2,IF(P126&gt;=9,1,0))))</ns0:f>
        <ns0:v>0</ns0:v>
      </ns0:c>
      <ns0:c r="S126" s="201" t="n">
        <ns0:f>Q126/5%</ns0:f>
        <ns0:v>0</ns0:v>
      </ns0:c>
    </ns0:row>
    <ns0:row r="127" ht="24" customHeight="1">
      <ns0:c r="A127" s="191" t="str">
        <ns0:v>2026-06-25</ns0:v>
      </ns0:c>
      <ns0:c r="B127" s="191" t="str">
        <ns0:v>2026-06</ns0:v>
      </ns0:c>
      <ns0:c r="C127" s="191" t="str">
        <ns0:v>四</ns0:v>
      </ns0:c>
      <ns0:c r="D127" s="191" t="str">
        <ns0:v>工作日（含法定调班日）</ns0:v>
      </ns0:c>
      <ns0:c r="E127" s="191" t="str">
        <ns0:v>09:53</ns0:v>
      </ns0:c>
      <ns0:c r="F127" s="191" t="str">
        <ns0:v>19:05</ns0:v>
      </ns0:c>
      <ns0:c r="G127" s="214" t="n">
        <ns0:v>12</ns0:v>
      </ns0:c>
      <ns0:c r="H127" s="214" t="n">
        <ns0:v>0</ns0:v>
      </ns0:c>
      <ns0:c r="I127" s="192" t="n">
        <ns0:f>G127/60*'核算总览'!$B$3/(21.75*8)*1.5</ns0:f>
        <ns0:v>41.99858429118773</ns0:v>
      </ns0:c>
      <ns0:c r="J127" s="192"/>
      <ns0:c r="K127" s="192"/>
      <ns0:c r="L127" s="192"/>
      <ns0:c r="M127" s="191" t="str"/>
      <ns0:c r="N127" s="191" t="str">
        <ns0:v>/Users/a./Desktop/飞书考勤留存_2026-10-27/逐日原始打卡截图与汇总_2026-10-27/原始截图/2026-06-25_01_日历与上部.jpg</ns0:v>
      </ns0:c>
      <ns0:c r="O127" s="191" t="str">
        <ns0:v>/Users/a./Desktop/飞书考勤留存_2026-10-27/逐日原始打卡截图与汇总_2026-10-27/原始截图/2026-06-25_02_明细下部.jpg</ns0:v>
      </ns0:c>
      <ns0:c r="P127" s="215" t="n">
        <ns0:v>8.2</ns0:v>
      </ns0:c>
      <ns0:c r="Q127" s="230" t="n">
        <ns0:f>IF(P127&gt;=11,20%,IF(P127&gt;=10,10%,IF(P127&gt;=9,5%,0)))</ns0:f>
        <ns0:v>0</ns0:v>
      </ns0:c>
      <ns0:c r="R127" s="201" t="n">
        <ns0:f>IF(H127&gt;0,0,IF(P127&gt;=11,3,IF(P127&gt;=10,2,IF(P127&gt;=9,1,0))))</ns0:f>
        <ns0:v>0</ns0:v>
      </ns0:c>
      <ns0:c r="S127" s="201" t="n">
        <ns0:f>Q127/5%</ns0:f>
        <ns0:v>0</ns0:v>
      </ns0:c>
    </ns0:row>
    <ns0:row r="128" ht="24" customHeight="1">
      <ns0:c r="A128" s="191" t="str">
        <ns0:v>2026-06-26</ns0:v>
      </ns0:c>
      <ns0:c r="B128" s="191" t="str">
        <ns0:v>2026-06</ns0:v>
      </ns0:c>
      <ns0:c r="C128" s="191" t="str">
        <ns0:v>五</ns0:v>
      </ns0:c>
      <ns0:c r="D128" s="191" t="str">
        <ns0:v>工作日（含法定调班日）</ns0:v>
      </ns0:c>
      <ns0:c r="E128" s="191" t="str">
        <ns0:v>09:54</ns0:v>
      </ns0:c>
      <ns0:c r="F128" s="191" t="str">
        <ns0:v>19:00</ns0:v>
      </ns0:c>
      <ns0:c r="G128" s="214" t="n">
        <ns0:v>6</ns0:v>
      </ns0:c>
      <ns0:c r="H128" s="214" t="n">
        <ns0:v>0</ns0:v>
      </ns0:c>
      <ns0:c r="I128" s="192" t="n">
        <ns0:f>G128/60*'核算总览'!$B$3/(21.75*8)*1.5</ns0:f>
        <ns0:v>20.999292145593866</ns0:v>
      </ns0:c>
      <ns0:c r="J128" s="192"/>
      <ns0:c r="K128" s="192"/>
      <ns0:c r="L128" s="192"/>
      <ns0:c r="M128" s="191" t="str"/>
      <ns0:c r="N128" s="191" t="str">
        <ns0:v>/Users/a./Desktop/飞书考勤留存_2026-10-27/逐日原始打卡截图与汇总_2026-10-27/原始截图/2026-06-26_01_日历与上部.jpg</ns0:v>
      </ns0:c>
      <ns0:c r="O128" s="191" t="str">
        <ns0:v>/Users/a./Desktop/飞书考勤留存_2026-10-27/逐日原始打卡截图与汇总_2026-10-27/原始截图/2026-06-26_02_明细下部.jpg</ns0:v>
      </ns0:c>
      <ns0:c r="P128" s="215" t="n">
        <ns0:v>8.1</ns0:v>
      </ns0:c>
      <ns0:c r="Q128" s="230" t="n">
        <ns0:f>IF(P128&gt;=11,20%,IF(P128&gt;=10,10%,IF(P128&gt;=9,5%,0)))</ns0:f>
        <ns0:v>0</ns0:v>
      </ns0:c>
      <ns0:c r="R128" s="201" t="n">
        <ns0:f>IF(H128&gt;0,0,IF(P128&gt;=11,3,IF(P128&gt;=10,2,IF(P128&gt;=9,1,0))))</ns0:f>
        <ns0:v>0</ns0:v>
      </ns0:c>
      <ns0:c r="S128" s="201" t="n">
        <ns0:f>Q128/5%</ns0:f>
        <ns0:v>0</ns0:v>
      </ns0:c>
    </ns0:row>
    <ns0:row r="129" ht="24" customHeight="1">
      <ns0:c r="A129" s="191" t="str">
        <ns0:v>2026-06-28</ns0:v>
      </ns0:c>
      <ns0:c r="B129" s="191" t="str">
        <ns0:v>2026-06</ns0:v>
      </ns0:c>
      <ns0:c r="C129" s="191" t="str">
        <ns0:v>日</ns0:v>
      </ns0:c>
      <ns0:c r="D129" s="191" t="str">
        <ns0:v>休息日或假期</ns0:v>
      </ns0:c>
      <ns0:c r="E129" s="191" t="str">
        <ns0:v>09:57</ns0:v>
      </ns0:c>
      <ns0:c r="F129" s="191" t="str">
        <ns0:v>19:58</ns0:v>
      </ns0:c>
      <ns0:c r="G129" s="214" t="n">
        <ns0:v>0</ns0:v>
      </ns0:c>
      <ns0:c r="H129" s="214" t="n">
        <ns0:v>541</ns0:v>
      </ns0:c>
      <ns0:c r="I129" s="192" t="n">
        <ns0:f>G129/60*'核算总览'!$B$3/(21.75*8)*1.5</ns0:f>
        <ns0:v>0</ns0:v>
      </ns0:c>
      <ns0:c r="J129" s="192"/>
      <ns0:c r="K129" s="192"/>
      <ns0:c r="L129" s="192"/>
      <ns0:c r="M129" s="191" t="str"/>
      <ns0:c r="N129" s="191" t="str">
        <ns0:v>/Users/a./Desktop/飞书考勤留存_2026-10-27/逐日原始打卡截图与汇总_2026-10-27/原始截图/2026-06-28_01_日历与上部.jpg</ns0:v>
      </ns0:c>
      <ns0:c r="O129" s="191" t="str">
        <ns0:v>/Users/a./Desktop/飞书考勤留存_2026-10-27/逐日原始打卡截图与汇总_2026-10-27/原始截图/2026-06-28_02_明细下部.jpg</ns0:v>
      </ns0:c>
      <ns0:c r="P129" s="215" t="n">
        <ns0:v>9.016666666666667</ns0:v>
      </ns0:c>
      <ns0:c r="Q129" s="230" t="n">
        <ns0:f>IF(P129&gt;=11,20%,IF(P129&gt;=10,10%,IF(P129&gt;=9,5%,0)))</ns0:f>
        <ns0:v>0.05</ns0:v>
      </ns0:c>
      <ns0:c r="R129" s="201" t="n">
        <ns0:f>IF(H129&gt;0,0,IF(P129&gt;=11,3,IF(P129&gt;=10,2,IF(P129&gt;=9,1,0))))</ns0:f>
        <ns0:v>0</ns0:v>
      </ns0:c>
      <ns0:c r="S129" s="201" t="n">
        <ns0:f>Q129/5%</ns0:f>
        <ns0:v>1</ns0:v>
      </ns0:c>
    </ns0:row>
    <ns0:row r="130" ht="24" customHeight="1">
      <ns0:c r="A130" s="191" t="str">
        <ns0:v>2026-06-29</ns0:v>
      </ns0:c>
      <ns0:c r="B130" s="191" t="str">
        <ns0:v>2026-06</ns0:v>
      </ns0:c>
      <ns0:c r="C130" s="191" t="str">
        <ns0:v>一</ns0:v>
      </ns0:c>
      <ns0:c r="D130" s="191" t="str">
        <ns0:v>工作日（含法定调班日）</ns0:v>
      </ns0:c>
      <ns0:c r="E130" s="191" t="str">
        <ns0:v>10:00</ns0:v>
      </ns0:c>
      <ns0:c r="F130" s="191" t="str">
        <ns0:v>20:02</ns0:v>
      </ns0:c>
      <ns0:c r="G130" s="214" t="n">
        <ns0:v>62</ns0:v>
      </ns0:c>
      <ns0:c r="H130" s="214" t="n">
        <ns0:v>0</ns0:v>
      </ns0:c>
      <ns0:c r="I130" s="192" t="n">
        <ns0:f>G130/60*'核算总览'!$B$3/(21.75*8)*1.5</ns0:f>
        <ns0:v>216.99268550447002</ns0:v>
      </ns0:c>
      <ns0:c r="J130" s="192"/>
      <ns0:c r="K130" s="192"/>
      <ns0:c r="L130" s="192"/>
      <ns0:c r="M130" s="191" t="str"/>
      <ns0:c r="N130" s="191" t="str">
        <ns0:v>/Users/a./Desktop/飞书考勤留存_2026-10-27/逐日原始打卡截图与汇总_2026-10-27/原始截图/2026-06-29_01_日历与上部.jpg</ns0:v>
      </ns0:c>
      <ns0:c r="O130" s="191" t="str">
        <ns0:v>/Users/a./Desktop/飞书考勤留存_2026-10-27/逐日原始打卡截图与汇总_2026-10-27/原始截图/2026-06-29_02_明细下部.jpg</ns0:v>
      </ns0:c>
      <ns0:c r="P130" s="215" t="n">
        <ns0:v>9.033333333333333</ns0:v>
      </ns0:c>
      <ns0:c r="Q130" s="230" t="n">
        <ns0:f>IF(P130&gt;=11,20%,IF(P130&gt;=10,10%,IF(P130&gt;=9,5%,0)))</ns0:f>
        <ns0:v>0.05</ns0:v>
      </ns0:c>
      <ns0:c r="R130" s="201" t="n">
        <ns0:f>IF(H130&gt;0,0,IF(P130&gt;=11,3,IF(P130&gt;=10,2,IF(P130&gt;=9,1,0))))</ns0:f>
        <ns0:v>1</ns0:v>
      </ns0:c>
      <ns0:c r="S130" s="201" t="n">
        <ns0:f>Q130/5%</ns0:f>
        <ns0:v>1</ns0:v>
      </ns0:c>
    </ns0:row>
    <ns0:row r="131" ht="24" customHeight="1">
      <ns0:c r="A131" s="191" t="str">
        <ns0:v>2026-06-30</ns0:v>
      </ns0:c>
      <ns0:c r="B131" s="191" t="str">
        <ns0:v>2026-06</ns0:v>
      </ns0:c>
      <ns0:c r="C131" s="191" t="str">
        <ns0:v>二</ns0:v>
      </ns0:c>
      <ns0:c r="D131" s="191" t="str">
        <ns0:v>工作日（含法定调班日）</ns0:v>
      </ns0:c>
      <ns0:c r="E131" s="191" t="str">
        <ns0:v>10:00</ns0:v>
      </ns0:c>
      <ns0:c r="F131" s="191" t="str">
        <ns0:v>21:03</ns0:v>
      </ns0:c>
      <ns0:c r="G131" s="214" t="n">
        <ns0:v>123</ns0:v>
      </ns0:c>
      <ns0:c r="H131" s="214" t="n">
        <ns0:v>0</ns0:v>
      </ns0:c>
      <ns0:c r="I131" s="192" t="n">
        <ns0:f>G131/60*'核算总览'!$B$3/(21.75*8)*1.5</ns0:f>
        <ns0:v>430.48548898467436</ns0:v>
      </ns0:c>
      <ns0:c r="J131" s="192"/>
      <ns0:c r="K131" s="192"/>
      <ns0:c r="L131" s="192"/>
      <ns0:c r="M131" s="191" t="str"/>
      <ns0:c r="N131" s="191" t="str">
        <ns0:v>/Users/a./Desktop/飞书考勤留存_2026-10-27/逐日原始打卡截图与汇总_2026-10-27/原始截图/2026-06-30_01_日历与上部.jpg</ns0:v>
      </ns0:c>
      <ns0:c r="O131" s="191" t="str">
        <ns0:v>/Users/a./Desktop/飞书考勤留存_2026-10-27/逐日原始打卡截图与汇总_2026-10-27/原始截图/2026-06-30_02_明细下部.jpg</ns0:v>
      </ns0:c>
      <ns0:c r="P131" s="215" t="n">
        <ns0:v>10.05</ns0:v>
      </ns0:c>
      <ns0:c r="Q131" s="230" t="n">
        <ns0:f>IF(P131&gt;=11,20%,IF(P131&gt;=10,10%,IF(P131&gt;=9,5%,0)))</ns0:f>
        <ns0:v>0.1</ns0:v>
      </ns0:c>
      <ns0:c r="R131" s="201" t="n">
        <ns0:f>IF(H131&gt;0,0,IF(P131&gt;=11,3,IF(P131&gt;=10,2,IF(P131&gt;=9,1,0))))</ns0:f>
        <ns0:v>2</ns0:v>
      </ns0:c>
      <ns0:c r="S131" s="201" t="n">
        <ns0:f>Q131/5%</ns0:f>
        <ns0:v>2</ns0:v>
      </ns0:c>
    </ns0:row>
    <ns0:row r="132" ht="24" customHeight="1">
      <ns0:c r="A132" s="191" t="str">
        <ns0:v>2026-07-01</ns0:v>
      </ns0:c>
      <ns0:c r="B132" s="191" t="str">
        <ns0:v>2026-07</ns0:v>
      </ns0:c>
      <ns0:c r="C132" s="191" t="str">
        <ns0:v>三</ns0:v>
      </ns0:c>
      <ns0:c r="D132" s="191" t="str">
        <ns0:v>工作日（含法定调班日）</ns0:v>
      </ns0:c>
      <ns0:c r="E132" s="191" t="str">
        <ns0:v>09:57</ns0:v>
      </ns0:c>
      <ns0:c r="F132" s="191" t="str">
        <ns0:v>12:02</ns0:v>
      </ns0:c>
      <ns0:c r="G132" s="214" t="n">
        <ns0:v>0</ns0:v>
      </ns0:c>
      <ns0:c r="H132" s="214" t="n">
        <ns0:v>0</ns0:v>
      </ns0:c>
      <ns0:c r="I132" s="192" t="n">
        <ns0:f>G132/60*'核算总览'!$B$3/(21.75*8)*1.5</ns0:f>
        <ns0:v>0</ns0:v>
      </ns0:c>
      <ns0:c r="J132" s="192"/>
      <ns0:c r="K132" s="192"/>
      <ns0:c r="L132" s="192"/>
      <ns0:c r="M132" s="191" t="str">
        <ns0:v>年假、请假</ns0:v>
      </ns0:c>
      <ns0:c r="N132" s="191" t="str">
        <ns0:v>/Users/a./Desktop/飞书考勤留存_2026-10-27/逐日原始打卡截图与汇总_2026-10-27/原始截图/2026-07-01_01_日历与上部.jpg</ns0:v>
      </ns0:c>
      <ns0:c r="O132" s="191" t="str">
        <ns0:v>/Users/a./Desktop/飞书考勤留存_2026-10-27/逐日原始打卡截图与汇总_2026-10-27/原始截图/2026-07-01_02_明细下部.jpg</ns0:v>
      </ns0:c>
      <ns0:c r="P132" s="215" t="n">
        <ns0:v>1.0833333333333333</ns0:v>
      </ns0:c>
      <ns0:c r="Q132" s="230" t="n">
        <ns0:f>IF(P132&gt;=11,20%,IF(P132&gt;=10,10%,IF(P132&gt;=9,5%,0)))</ns0:f>
        <ns0:v>0</ns0:v>
      </ns0:c>
      <ns0:c r="R132" s="201" t="n">
        <ns0:f>IF(H132&gt;0,0,IF(P132&gt;=11,3,IF(P132&gt;=10,2,IF(P132&gt;=9,1,0))))</ns0:f>
        <ns0:v>0</ns0:v>
      </ns0:c>
      <ns0:c r="S132" s="201" t="n">
        <ns0:f>Q132/5%</ns0:f>
        <ns0:v>0</ns0:v>
      </ns0:c>
    </ns0:row>
    <ns0:row r="133" ht="24" customHeight="1">
      <ns0:c r="A133" s="191" t="str">
        <ns0:v>2026-07-02</ns0:v>
      </ns0:c>
      <ns0:c r="B133" s="191" t="str">
        <ns0:v>2026-07</ns0:v>
      </ns0:c>
      <ns0:c r="C133" s="191" t="str">
        <ns0:v>四</ns0:v>
      </ns0:c>
      <ns0:c r="D133" s="191" t="str">
        <ns0:v>工作日（含法定调班日）</ns0:v>
      </ns0:c>
      <ns0:c r="E133" s="191" t="str">
        <ns0:v>09:58</ns0:v>
      </ns0:c>
      <ns0:c r="F133" s="191" t="str">
        <ns0:v>20:10</ns0:v>
      </ns0:c>
      <ns0:c r="G133" s="214" t="n">
        <ns0:v>72</ns0:v>
      </ns0:c>
      <ns0:c r="H133" s="214" t="n">
        <ns0:v>0</ns0:v>
      </ns0:c>
      <ns0:c r="I133" s="192" t="n">
        <ns0:f>G133/60*'核算总览'!$B$3/(21.75*8)*1.5</ns0:f>
        <ns0:v>251.99150574712644</ns0:v>
      </ns0:c>
      <ns0:c r="J133" s="192"/>
      <ns0:c r="K133" s="192"/>
      <ns0:c r="L133" s="192"/>
      <ns0:c r="M133" s="191" t="str"/>
      <ns0:c r="N133" s="191" t="str">
        <ns0:v>/Users/a./Desktop/飞书考勤留存_2026-10-27/逐日原始打卡截图与汇总_2026-10-27/原始截图/2026-07-02_01_日历与上部.jpg</ns0:v>
      </ns0:c>
      <ns0:c r="O133" s="191" t="str">
        <ns0:v>/Users/a./Desktop/飞书考勤留存_2026-10-27/逐日原始打卡截图与汇总_2026-10-27/原始截图/2026-07-02_02_明细下部.jpg</ns0:v>
      </ns0:c>
      <ns0:c r="P133" s="215" t="n">
        <ns0:v>9.2</ns0:v>
      </ns0:c>
      <ns0:c r="Q133" s="230" t="n">
        <ns0:f>IF(P133&gt;=11,20%,IF(P133&gt;=10,10%,IF(P133&gt;=9,5%,0)))</ns0:f>
        <ns0:v>0.05</ns0:v>
      </ns0:c>
      <ns0:c r="R133" s="201" t="n">
        <ns0:f>IF(H133&gt;0,0,IF(P133&gt;=11,3,IF(P133&gt;=10,2,IF(P133&gt;=9,1,0))))</ns0:f>
        <ns0:v>1</ns0:v>
      </ns0:c>
      <ns0:c r="S133" s="201" t="n">
        <ns0:f>Q133/5%</ns0:f>
        <ns0:v>1</ns0:v>
      </ns0:c>
    </ns0:row>
    <ns0:row r="134" ht="24" customHeight="1">
      <ns0:c r="A134" s="191" t="str">
        <ns0:v>2026-07-03</ns0:v>
      </ns0:c>
      <ns0:c r="B134" s="191" t="str">
        <ns0:v>2026-07</ns0:v>
      </ns0:c>
      <ns0:c r="C134" s="191" t="str">
        <ns0:v>五</ns0:v>
      </ns0:c>
      <ns0:c r="D134" s="191" t="str">
        <ns0:v>工作日（含法定调班日）</ns0:v>
      </ns0:c>
      <ns0:c r="E134" s="191" t="str">
        <ns0:v>09:56</ns0:v>
      </ns0:c>
      <ns0:c r="F134" s="191" t="str">
        <ns0:v>20:23</ns0:v>
      </ns0:c>
      <ns0:c r="G134" s="214" t="n">
        <ns0:v>87</ns0:v>
      </ns0:c>
      <ns0:c r="H134" s="214" t="n">
        <ns0:v>0</ns0:v>
      </ns0:c>
      <ns0:c r="I134" s="192" t="n">
        <ns0:f>G134/60*'核算总览'!$B$3/(21.75*8)*1.5</ns0:f>
        <ns0:v>304.4897361111111</ns0:v>
      </ns0:c>
      <ns0:c r="J134" s="192"/>
      <ns0:c r="K134" s="192"/>
      <ns0:c r="L134" s="192"/>
      <ns0:c r="M134" s="191" t="str"/>
      <ns0:c r="N134" s="191" t="str">
        <ns0:v>/Users/a./Desktop/飞书考勤留存_2026-10-27/逐日原始打卡截图与汇总_2026-10-27/原始截图/2026-07-03_01_日历与上部.jpg</ns0:v>
      </ns0:c>
      <ns0:c r="O134" s="191" t="str">
        <ns0:v>/Users/a./Desktop/飞书考勤留存_2026-10-27/逐日原始打卡截图与汇总_2026-10-27/原始截图/2026-07-03_02_明细下部.jpg</ns0:v>
      </ns0:c>
      <ns0:c r="P134" s="215" t="n">
        <ns0:v>9.45</ns0:v>
      </ns0:c>
      <ns0:c r="Q134" s="230" t="n">
        <ns0:f>IF(P134&gt;=11,20%,IF(P134&gt;=10,10%,IF(P134&gt;=9,5%,0)))</ns0:f>
        <ns0:v>0.05</ns0:v>
      </ns0:c>
      <ns0:c r="R134" s="201" t="n">
        <ns0:f>IF(H134&gt;0,0,IF(P134&gt;=11,3,IF(P134&gt;=10,2,IF(P134&gt;=9,1,0))))</ns0:f>
        <ns0:v>1</ns0:v>
      </ns0:c>
      <ns0:c r="S134" s="201" t="n">
        <ns0:f>Q134/5%</ns0:f>
        <ns0:v>1</ns0:v>
      </ns0:c>
    </ns0:row>
    <ns0:row r="135" ht="24" customHeight="1">
      <ns0:c r="A135" s="191" t="str">
        <ns0:v>2026-07-06</ns0:v>
      </ns0:c>
      <ns0:c r="B135" s="191" t="str">
        <ns0:v>2026-07</ns0:v>
      </ns0:c>
      <ns0:c r="C135" s="191" t="str">
        <ns0:v>一</ns0:v>
      </ns0:c>
      <ns0:c r="D135" s="191" t="str">
        <ns0:v>工作日（含法定调班日）</ns0:v>
      </ns0:c>
      <ns0:c r="E135" s="191" t="str">
        <ns0:v>09:55</ns0:v>
      </ns0:c>
      <ns0:c r="F135" s="191" t="str">
        <ns0:v>20:03</ns0:v>
      </ns0:c>
      <ns0:c r="G135" s="214" t="n">
        <ns0:v>68</ns0:v>
      </ns0:c>
      <ns0:c r="H135" s="214" t="n">
        <ns0:v>0</ns0:v>
      </ns0:c>
      <ns0:c r="I135" s="192" t="n">
        <ns0:f>G135/60*'核算总览'!$B$3/(21.75*8)*1.5</ns0:f>
        <ns0:v>237.99197765006386</ns0:v>
      </ns0:c>
      <ns0:c r="J135" s="192"/>
      <ns0:c r="K135" s="192"/>
      <ns0:c r="L135" s="192"/>
      <ns0:c r="M135" s="191" t="str"/>
      <ns0:c r="N135" s="191" t="str">
        <ns0:v>/Users/a./Desktop/飞书考勤留存_2026-10-27/逐日原始打卡截图与汇总_2026-10-27/原始截图/2026-07-06_01_日历与上部.jpg</ns0:v>
      </ns0:c>
      <ns0:c r="O135" s="191" t="str">
        <ns0:v>/Users/a./Desktop/飞书考勤留存_2026-10-27/逐日原始打卡截图与汇总_2026-10-27/原始截图/2026-07-06_02_明细下部.jpg</ns0:v>
      </ns0:c>
      <ns0:c r="P135" s="215" t="n">
        <ns0:v>9.133333333333333</ns0:v>
      </ns0:c>
      <ns0:c r="Q135" s="230" t="n">
        <ns0:f>IF(P135&gt;=11,20%,IF(P135&gt;=10,10%,IF(P135&gt;=9,5%,0)))</ns0:f>
        <ns0:v>0.05</ns0:v>
      </ns0:c>
      <ns0:c r="R135" s="201" t="n">
        <ns0:f>IF(H135&gt;0,0,IF(P135&gt;=11,3,IF(P135&gt;=10,2,IF(P135&gt;=9,1,0))))</ns0:f>
        <ns0:v>1</ns0:v>
      </ns0:c>
      <ns0:c r="S135" s="201" t="n">
        <ns0:f>Q135/5%</ns0:f>
        <ns0:v>1</ns0:v>
      </ns0:c>
    </ns0:row>
    <ns0:row r="136" ht="24" customHeight="1">
      <ns0:c r="A136" s="191" t="str">
        <ns0:v>2026-07-07</ns0:v>
      </ns0:c>
      <ns0:c r="B136" s="191" t="str">
        <ns0:v>2026-07</ns0:v>
      </ns0:c>
      <ns0:c r="C136" s="191" t="str">
        <ns0:v>二</ns0:v>
      </ns0:c>
      <ns0:c r="D136" s="191" t="str">
        <ns0:v>工作日（含法定调班日）</ns0:v>
      </ns0:c>
      <ns0:c r="E136" s="191" t="str">
        <ns0:v>09:58</ns0:v>
      </ns0:c>
      <ns0:c r="F136" s="191" t="str">
        <ns0:v>19:08</ns0:v>
      </ns0:c>
      <ns0:c r="G136" s="214" t="n">
        <ns0:v>10</ns0:v>
      </ns0:c>
      <ns0:c r="H136" s="214" t="n">
        <ns0:v>0</ns0:v>
      </ns0:c>
      <ns0:c r="I136" s="192" t="n">
        <ns0:f>G136/60*'核算总览'!$B$3/(21.75*8)*1.5</ns0:f>
        <ns0:v>34.99882024265645</ns0:v>
      </ns0:c>
      <ns0:c r="J136" s="192"/>
      <ns0:c r="K136" s="192"/>
      <ns0:c r="L136" s="192"/>
      <ns0:c r="M136" s="191" t="str"/>
      <ns0:c r="N136" s="191" t="str">
        <ns0:v>/Users/a./Desktop/飞书考勤留存_2026-10-27/逐日原始打卡截图与汇总_2026-10-27/原始截图/2026-07-07_01_日历与上部.jpg</ns0:v>
      </ns0:c>
      <ns0:c r="O136" s="191" t="str">
        <ns0:v>/Users/a./Desktop/飞书考勤留存_2026-10-27/逐日原始打卡截图与汇总_2026-10-27/原始截图/2026-07-07_02_明细下部.jpg</ns0:v>
      </ns0:c>
      <ns0:c r="P136" s="215" t="n">
        <ns0:v>8.166666666666666</ns0:v>
      </ns0:c>
      <ns0:c r="Q136" s="230" t="n">
        <ns0:f>IF(P136&gt;=11,20%,IF(P136&gt;=10,10%,IF(P136&gt;=9,5%,0)))</ns0:f>
        <ns0:v>0</ns0:v>
      </ns0:c>
      <ns0:c r="R136" s="201" t="n">
        <ns0:f>IF(H136&gt;0,0,IF(P136&gt;=11,3,IF(P136&gt;=10,2,IF(P136&gt;=9,1,0))))</ns0:f>
        <ns0:v>0</ns0:v>
      </ns0:c>
      <ns0:c r="S136" s="201" t="n">
        <ns0:f>Q136/5%</ns0:f>
        <ns0:v>0</ns0:v>
      </ns0:c>
    </ns0:row>
    <ns0:row r="137" ht="24" customHeight="1">
      <ns0:c r="A137" s="191" t="str">
        <ns0:v>2026-07-08</ns0:v>
      </ns0:c>
      <ns0:c r="B137" s="191" t="str">
        <ns0:v>2026-07</ns0:v>
      </ns0:c>
      <ns0:c r="C137" s="191" t="str">
        <ns0:v>三</ns0:v>
      </ns0:c>
      <ns0:c r="D137" s="191" t="str">
        <ns0:v>工作日（含法定调班日）</ns0:v>
      </ns0:c>
      <ns0:c r="E137" s="191" t="str">
        <ns0:v>09:58</ns0:v>
      </ns0:c>
      <ns0:c r="F137" s="191" t="str">
        <ns0:v>20:22</ns0:v>
      </ns0:c>
      <ns0:c r="G137" s="214" t="n">
        <ns0:v>84</ns0:v>
      </ns0:c>
      <ns0:c r="H137" s="214" t="n">
        <ns0:v>0</ns0:v>
      </ns0:c>
      <ns0:c r="I137" s="192" t="n">
        <ns0:f>G137/60*'核算总览'!$B$3/(21.75*8)*1.5</ns0:f>
        <ns0:v>293.9900900383141</ns0:v>
      </ns0:c>
      <ns0:c r="J137" s="192"/>
      <ns0:c r="K137" s="192"/>
      <ns0:c r="L137" s="192"/>
      <ns0:c r="M137" s="191" t="str"/>
      <ns0:c r="N137" s="191" t="str">
        <ns0:v>/Users/a./Desktop/飞书考勤留存_2026-10-27/逐日原始打卡截图与汇总_2026-10-27/原始截图/2026-07-08_01_日历与上部.jpg</ns0:v>
      </ns0:c>
      <ns0:c r="O137" s="191" t="str">
        <ns0:v>/Users/a./Desktop/飞书考勤留存_2026-10-27/逐日原始打卡截图与汇总_2026-10-27/原始截图/2026-07-08_02_明细下部.jpg</ns0:v>
      </ns0:c>
      <ns0:c r="P137" s="215" t="n">
        <ns0:v>9.4</ns0:v>
      </ns0:c>
      <ns0:c r="Q137" s="230" t="n">
        <ns0:f>IF(P137&gt;=11,20%,IF(P137&gt;=10,10%,IF(P137&gt;=9,5%,0)))</ns0:f>
        <ns0:v>0.05</ns0:v>
      </ns0:c>
      <ns0:c r="R137" s="201" t="n">
        <ns0:f>IF(H137&gt;0,0,IF(P137&gt;=11,3,IF(P137&gt;=10,2,IF(P137&gt;=9,1,0))))</ns0:f>
        <ns0:v>1</ns0:v>
      </ns0:c>
      <ns0:c r="S137" s="201" t="n">
        <ns0:f>Q137/5%</ns0:f>
        <ns0:v>1</ns0:v>
      </ns0:c>
    </ns0:row>
    <ns0:row r="138" ht="24" customHeight="1">
      <ns0:c r="A138" s="191" t="str">
        <ns0:v>2026-07-09</ns0:v>
      </ns0:c>
      <ns0:c r="B138" s="191" t="str">
        <ns0:v>2026-07</ns0:v>
      </ns0:c>
      <ns0:c r="C138" s="191" t="str">
        <ns0:v>四</ns0:v>
      </ns0:c>
      <ns0:c r="D138" s="191" t="str">
        <ns0:v>工作日（含法定调班日）</ns0:v>
      </ns0:c>
      <ns0:c r="E138" s="191" t="str">
        <ns0:v>10:00</ns0:v>
      </ns0:c>
      <ns0:c r="F138" s="191" t="str">
        <ns0:v>19:21</ns0:v>
      </ns0:c>
      <ns0:c r="G138" s="214" t="n">
        <ns0:v>21</ns0:v>
      </ns0:c>
      <ns0:c r="H138" s="214" t="n">
        <ns0:v>0</ns0:v>
      </ns0:c>
      <ns0:c r="I138" s="192" t="n">
        <ns0:f>G138/60*'核算总览'!$B$3/(21.75*8)*1.5</ns0:f>
        <ns0:v>73.49752250957853</ns0:v>
      </ns0:c>
      <ns0:c r="J138" s="192"/>
      <ns0:c r="K138" s="192"/>
      <ns0:c r="L138" s="192"/>
      <ns0:c r="M138" s="191" t="str"/>
      <ns0:c r="N138" s="191" t="str">
        <ns0:v>/Users/a./Desktop/飞书考勤留存_2026-10-27/逐日原始打卡截图与汇总_2026-10-27/原始截图/2026-07-09_01_日历与上部.jpg</ns0:v>
      </ns0:c>
      <ns0:c r="O138" s="191" t="str">
        <ns0:v>/Users/a./Desktop/飞书考勤留存_2026-10-27/逐日原始打卡截图与汇总_2026-10-27/原始截图/2026-07-09_02_明细下部.jpg</ns0:v>
      </ns0:c>
      <ns0:c r="P138" s="215" t="n">
        <ns0:v>8.35</ns0:v>
      </ns0:c>
      <ns0:c r="Q138" s="230" t="n">
        <ns0:f>IF(P138&gt;=11,20%,IF(P138&gt;=10,10%,IF(P138&gt;=9,5%,0)))</ns0:f>
        <ns0:v>0</ns0:v>
      </ns0:c>
      <ns0:c r="R138" s="201" t="n">
        <ns0:f>IF(H138&gt;0,0,IF(P138&gt;=11,3,IF(P138&gt;=10,2,IF(P138&gt;=9,1,0))))</ns0:f>
        <ns0:v>0</ns0:v>
      </ns0:c>
      <ns0:c r="S138" s="201" t="n">
        <ns0:f>Q138/5%</ns0:f>
        <ns0:v>0</ns0:v>
      </ns0:c>
    </ns0:row>
    <ns0:row r="139" ht="24" customHeight="1">
      <ns0:c r="A139" s="191" t="str">
        <ns0:v>2026-07-10</ns0:v>
      </ns0:c>
      <ns0:c r="B139" s="191" t="str">
        <ns0:v>2026-07</ns0:v>
      </ns0:c>
      <ns0:c r="C139" s="191" t="str">
        <ns0:v>五</ns0:v>
      </ns0:c>
      <ns0:c r="D139" s="191" t="str">
        <ns0:v>工作日（含法定调班日）</ns0:v>
      </ns0:c>
      <ns0:c r="E139" s="191" t="str">
        <ns0:v>09:55</ns0:v>
      </ns0:c>
      <ns0:c r="F139" s="191" t="str">
        <ns0:v>18:55</ns0:v>
      </ns0:c>
      <ns0:c r="G139" s="214" t="n">
        <ns0:v>0</ns0:v>
      </ns0:c>
      <ns0:c r="H139" s="214" t="n">
        <ns0:v>0</ns0:v>
      </ns0:c>
      <ns0:c r="I139" s="192" t="n">
        <ns0:f>G139/60*'核算总览'!$B$3/(21.75*8)*1.5</ns0:f>
        <ns0:v>0</ns0:v>
      </ns0:c>
      <ns0:c r="J139" s="192"/>
      <ns0:c r="K139" s="192"/>
      <ns0:c r="L139" s="192"/>
      <ns0:c r="M139" s="191" t="str"/>
      <ns0:c r="N139" s="191" t="str">
        <ns0:v>/Users/a./Desktop/飞书考勤留存_2026-10-27/逐日原始打卡截图与汇总_2026-10-27/原始截图/2026-07-10_01_日历与上部.jpg</ns0:v>
      </ns0:c>
      <ns0:c r="O139" s="191" t="str">
        <ns0:v>/Users/a./Desktop/飞书考勤留存_2026-10-27/逐日原始打卡截图与汇总_2026-10-27/原始截图/2026-07-10_02_明细下部.jpg</ns0:v>
      </ns0:c>
      <ns0:c r="P139" s="215" t="n">
        <ns0:v>8</ns0:v>
      </ns0:c>
      <ns0:c r="Q139" s="230" t="n">
        <ns0:f>IF(P139&gt;=11,20%,IF(P139&gt;=10,10%,IF(P139&gt;=9,5%,0)))</ns0:f>
        <ns0:v>0</ns0:v>
      </ns0:c>
      <ns0:c r="R139" s="201" t="n">
        <ns0:f>IF(H139&gt;0,0,IF(P139&gt;=11,3,IF(P139&gt;=10,2,IF(P139&gt;=9,1,0))))</ns0:f>
        <ns0:v>0</ns0:v>
      </ns0:c>
      <ns0:c r="S139" s="201" t="n">
        <ns0:f>Q139/5%</ns0:f>
        <ns0:v>0</ns0:v>
      </ns0:c>
    </ns0:row>
    <ns0:row r="140" ht="24" customHeight="1">
      <ns0:c r="A140" s="191" t="str">
        <ns0:v>2026-07-13</ns0:v>
      </ns0:c>
      <ns0:c r="B140" s="191" t="str">
        <ns0:v>2026-07</ns0:v>
      </ns0:c>
      <ns0:c r="C140" s="191" t="str">
        <ns0:v>一</ns0:v>
      </ns0:c>
      <ns0:c r="D140" s="191" t="str">
        <ns0:v>工作日（含法定调班日）</ns0:v>
      </ns0:c>
      <ns0:c r="E140" s="191" t="str">
        <ns0:v>09:58</ns0:v>
      </ns0:c>
      <ns0:c r="F140" s="191" t="str">
        <ns0:v>20:23</ns0:v>
      </ns0:c>
      <ns0:c r="G140" s="214" t="n">
        <ns0:v>85</ns0:v>
      </ns0:c>
      <ns0:c r="H140" s="214" t="n">
        <ns0:v>0</ns0:v>
      </ns0:c>
      <ns0:c r="I140" s="192" t="n">
        <ns0:f>G140/60*'核算总览'!$B$3/(21.75*8)*1.5</ns0:f>
        <ns0:v>297.48997206257985</ns0:v>
      </ns0:c>
      <ns0:c r="J140" s="192"/>
      <ns0:c r="K140" s="192"/>
      <ns0:c r="L140" s="192"/>
      <ns0:c r="M140" s="191" t="str"/>
      <ns0:c r="N140" s="191" t="str">
        <ns0:v>/Users/a./Desktop/飞书考勤留存_2026-10-27/逐日原始打卡截图与汇总_2026-10-27/原始截图/2026-07-13_01_日历与上部.jpg</ns0:v>
      </ns0:c>
      <ns0:c r="O140" s="191" t="str">
        <ns0:v>/Users/a./Desktop/飞书考勤留存_2026-10-27/逐日原始打卡截图与汇总_2026-10-27/原始截图/2026-07-13_02_明细下部.jpg</ns0:v>
      </ns0:c>
      <ns0:c r="P140" s="215" t="n">
        <ns0:v>9.416666666666666</ns0:v>
      </ns0:c>
      <ns0:c r="Q140" s="230" t="n">
        <ns0:f>IF(P140&gt;=11,20%,IF(P140&gt;=10,10%,IF(P140&gt;=9,5%,0)))</ns0:f>
        <ns0:v>0.05</ns0:v>
      </ns0:c>
      <ns0:c r="R140" s="201" t="n">
        <ns0:f>IF(H140&gt;0,0,IF(P140&gt;=11,3,IF(P140&gt;=10,2,IF(P140&gt;=9,1,0))))</ns0:f>
        <ns0:v>1</ns0:v>
      </ns0:c>
      <ns0:c r="S140" s="201" t="n">
        <ns0:f>Q140/5%</ns0:f>
        <ns0:v>1</ns0:v>
      </ns0:c>
    </ns0:row>
    <ns0:row r="141" ht="24" customHeight="1">
      <ns0:c r="A141" s="191" t="str">
        <ns0:v>2026-07-14</ns0:v>
      </ns0:c>
      <ns0:c r="B141" s="191" t="str">
        <ns0:v>2026-07</ns0:v>
      </ns0:c>
      <ns0:c r="C141" s="191" t="str">
        <ns0:v>二</ns0:v>
      </ns0:c>
      <ns0:c r="D141" s="191" t="str">
        <ns0:v>工作日（含法定调班日）</ns0:v>
      </ns0:c>
      <ns0:c r="E141" s="191" t="str">
        <ns0:v>09:55</ns0:v>
      </ns0:c>
      <ns0:c r="F141" s="191" t="str">
        <ns0:v>19:06</ns0:v>
      </ns0:c>
      <ns0:c r="G141" s="214" t="n">
        <ns0:v>11</ns0:v>
      </ns0:c>
      <ns0:c r="H141" s="214" t="n">
        <ns0:v>0</ns0:v>
      </ns0:c>
      <ns0:c r="I141" s="192" t="n">
        <ns0:f>G141/60*'核算总览'!$B$3/(21.75*8)*1.5</ns0:f>
        <ns0:v>38.49870226692209</ns0:v>
      </ns0:c>
      <ns0:c r="J141" s="192"/>
      <ns0:c r="K141" s="192"/>
      <ns0:c r="L141" s="192"/>
      <ns0:c r="M141" s="191" t="str"/>
      <ns0:c r="N141" s="191" t="str">
        <ns0:v>/Users/a./Desktop/飞书考勤留存_2026-10-27/逐日原始打卡截图与汇总_2026-10-27/原始截图/2026-07-14_01_日历与上部.jpg</ns0:v>
      </ns0:c>
      <ns0:c r="O141" s="191" t="str">
        <ns0:v>/Users/a./Desktop/飞书考勤留存_2026-10-27/逐日原始打卡截图与汇总_2026-10-27/原始截图/2026-07-14_02_明细下部.jpg</ns0:v>
      </ns0:c>
      <ns0:c r="P141" s="215" t="n">
        <ns0:v>8.183333333333334</ns0:v>
      </ns0:c>
      <ns0:c r="Q141" s="230" t="n">
        <ns0:f>IF(P141&gt;=11,20%,IF(P141&gt;=10,10%,IF(P141&gt;=9,5%,0)))</ns0:f>
        <ns0:v>0</ns0:v>
      </ns0:c>
      <ns0:c r="R141" s="201" t="n">
        <ns0:f>IF(H141&gt;0,0,IF(P141&gt;=11,3,IF(P141&gt;=10,2,IF(P141&gt;=9,1,0))))</ns0:f>
        <ns0:v>0</ns0:v>
      </ns0:c>
      <ns0:c r="S141" s="201" t="n">
        <ns0:f>Q141/5%</ns0:f>
        <ns0:v>0</ns0:v>
      </ns0:c>
    </ns0:row>
    <ns0:row r="142" ht="24" customHeight="1">
      <ns0:c r="A142" s="191" t="str">
        <ns0:v>2026-07-15</ns0:v>
      </ns0:c>
      <ns0:c r="B142" s="191" t="str">
        <ns0:v>2026-07</ns0:v>
      </ns0:c>
      <ns0:c r="C142" s="191" t="str">
        <ns0:v>三</ns0:v>
      </ns0:c>
      <ns0:c r="D142" s="191" t="str">
        <ns0:v>工作日（含法定调班日）</ns0:v>
      </ns0:c>
      <ns0:c r="E142" s="191" t="str">
        <ns0:v>10:00</ns0:v>
      </ns0:c>
      <ns0:c r="F142" s="191" t="str">
        <ns0:v>20:08</ns0:v>
      </ns0:c>
      <ns0:c r="G142" s="214" t="n">
        <ns0:v>68</ns0:v>
      </ns0:c>
      <ns0:c r="H142" s="214" t="n">
        <ns0:v>0</ns0:v>
      </ns0:c>
      <ns0:c r="I142" s="192" t="n">
        <ns0:f>G142/60*'核算总览'!$B$3/(21.75*8)*1.5</ns0:f>
        <ns0:v>237.99197765006386</ns0:v>
      </ns0:c>
      <ns0:c r="J142" s="192"/>
      <ns0:c r="K142" s="192"/>
      <ns0:c r="L142" s="192"/>
      <ns0:c r="M142" s="191" t="str"/>
      <ns0:c r="N142" s="191" t="str">
        <ns0:v>/Users/a./Desktop/飞书考勤留存_2026-10-27/逐日原始打卡截图与汇总_2026-10-27/原始截图/2026-07-15_01_日历与上部.jpg</ns0:v>
      </ns0:c>
      <ns0:c r="O142" s="191" t="str">
        <ns0:v>/Users/a./Desktop/飞书考勤留存_2026-10-27/逐日原始打卡截图与汇总_2026-10-27/原始截图/2026-07-15_02_明细下部.jpg</ns0:v>
      </ns0:c>
      <ns0:c r="P142" s="215" t="n">
        <ns0:v>9.133333333333333</ns0:v>
      </ns0:c>
      <ns0:c r="Q142" s="230" t="n">
        <ns0:f>IF(P142&gt;=11,20%,IF(P142&gt;=10,10%,IF(P142&gt;=9,5%,0)))</ns0:f>
        <ns0:v>0.05</ns0:v>
      </ns0:c>
      <ns0:c r="R142" s="201" t="n">
        <ns0:f>IF(H142&gt;0,0,IF(P142&gt;=11,3,IF(P142&gt;=10,2,IF(P142&gt;=9,1,0))))</ns0:f>
        <ns0:v>1</ns0:v>
      </ns0:c>
      <ns0:c r="S142" s="201" t="n">
        <ns0:f>Q142/5%</ns0:f>
        <ns0:v>1</ns0:v>
      </ns0:c>
    </ns0:row>
    <ns0:row r="143" ht="24" customHeight="1">
      <ns0:c r="A143" s="191" t="str">
        <ns0:v>2026-07-16</ns0:v>
      </ns0:c>
      <ns0:c r="B143" s="191" t="str">
        <ns0:v>2026-07</ns0:v>
      </ns0:c>
      <ns0:c r="C143" s="191" t="str">
        <ns0:v>四</ns0:v>
      </ns0:c>
      <ns0:c r="D143" s="191" t="str">
        <ns0:v>工作日（含法定调班日）</ns0:v>
      </ns0:c>
      <ns0:c r="E143" s="191" t="str">
        <ns0:v>09:51</ns0:v>
      </ns0:c>
      <ns0:c r="F143" s="191" t="str">
        <ns0:v>19:52</ns0:v>
      </ns0:c>
      <ns0:c r="G143" s="214" t="n">
        <ns0:v>61</ns0:v>
      </ns0:c>
      <ns0:c r="H143" s="214" t="n">
        <ns0:v>0</ns0:v>
      </ns0:c>
      <ns0:c r="I143" s="192" t="n">
        <ns0:f>G143/60*'核算总览'!$B$3/(21.75*8)*1.5</ns0:f>
        <ns0:v>213.49280348020432</ns0:v>
      </ns0:c>
      <ns0:c r="J143" s="192"/>
      <ns0:c r="K143" s="192"/>
      <ns0:c r="L143" s="192"/>
      <ns0:c r="M143" s="191" t="str"/>
      <ns0:c r="N143" s="191" t="str">
        <ns0:v>/Users/a./Desktop/飞书考勤留存_2026-10-27/逐日原始打卡截图与汇总_2026-10-27/原始截图/2026-07-16_01_日历与上部.jpg</ns0:v>
      </ns0:c>
      <ns0:c r="O143" s="191" t="str">
        <ns0:v>/Users/a./Desktop/飞书考勤留存_2026-10-27/逐日原始打卡截图与汇总_2026-10-27/原始截图/2026-07-16_02_明细下部.jpg</ns0:v>
      </ns0:c>
      <ns0:c r="P143" s="215" t="n">
        <ns0:v>9.016666666666667</ns0:v>
      </ns0:c>
      <ns0:c r="Q143" s="230" t="n">
        <ns0:f>IF(P143&gt;=11,20%,IF(P143&gt;=10,10%,IF(P143&gt;=9,5%,0)))</ns0:f>
        <ns0:v>0.05</ns0:v>
      </ns0:c>
      <ns0:c r="R143" s="201" t="n">
        <ns0:f>IF(H143&gt;0,0,IF(P143&gt;=11,3,IF(P143&gt;=10,2,IF(P143&gt;=9,1,0))))</ns0:f>
        <ns0:v>1</ns0:v>
      </ns0:c>
      <ns0:c r="S143" s="201" t="n">
        <ns0:f>Q143/5%</ns0:f>
        <ns0:v>1</ns0:v>
      </ns0:c>
    </ns0:row>
    <ns0:row r="144" ht="24" customHeight="1">
      <ns0:c r="A144" s="191" t="str">
        <ns0:v>2026-07-17</ns0:v>
      </ns0:c>
      <ns0:c r="B144" s="191" t="str">
        <ns0:v>2026-07</ns0:v>
      </ns0:c>
      <ns0:c r="C144" s="191" t="str">
        <ns0:v>五</ns0:v>
      </ns0:c>
      <ns0:c r="D144" s="191" t="str">
        <ns0:v>工作日（含法定调班日）</ns0:v>
      </ns0:c>
      <ns0:c r="E144" s="191" t="str">
        <ns0:v>09:51</ns0:v>
      </ns0:c>
      <ns0:c r="F144" s="191" t="str">
        <ns0:v>18:52</ns0:v>
      </ns0:c>
      <ns0:c r="G144" s="214" t="n">
        <ns0:v>1</ns0:v>
      </ns0:c>
      <ns0:c r="H144" s="214" t="n">
        <ns0:v>0</ns0:v>
      </ns0:c>
      <ns0:c r="I144" s="192" t="n">
        <ns0:f>G144/60*'核算总览'!$B$3/(21.75*8)*1.5</ns0:f>
        <ns0:v>3.499882024265645</ns0:v>
      </ns0:c>
      <ns0:c r="J144" s="192"/>
      <ns0:c r="K144" s="192"/>
      <ns0:c r="L144" s="192"/>
      <ns0:c r="M144" s="191" t="str"/>
      <ns0:c r="N144" s="191" t="str">
        <ns0:v>/Users/a./Desktop/飞书考勤留存_2026-10-27/逐日原始打卡截图与汇总_2026-10-27/原始截图/2026-07-17_01_日历与上部.jpg</ns0:v>
      </ns0:c>
      <ns0:c r="O144" s="191" t="str">
        <ns0:v>/Users/a./Desktop/飞书考勤留存_2026-10-27/逐日原始打卡截图与汇总_2026-10-27/原始截图/2026-07-17_02_明细下部.jpg</ns0:v>
      </ns0:c>
      <ns0:c r="P144" s="215" t="n">
        <ns0:v>8.016666666666667</ns0:v>
      </ns0:c>
      <ns0:c r="Q144" s="230" t="n">
        <ns0:f>IF(P144&gt;=11,20%,IF(P144&gt;=10,10%,IF(P144&gt;=9,5%,0)))</ns0:f>
        <ns0:v>0</ns0:v>
      </ns0:c>
      <ns0:c r="R144" s="201" t="n">
        <ns0:f>IF(H144&gt;0,0,IF(P144&gt;=11,3,IF(P144&gt;=10,2,IF(P144&gt;=9,1,0))))</ns0:f>
        <ns0:v>0</ns0:v>
      </ns0:c>
      <ns0:c r="S144" s="201" t="n">
        <ns0:f>Q144/5%</ns0:f>
        <ns0:v>0</ns0:v>
      </ns0:c>
    </ns0:row>
    <ns0:row r="145" ht="24" customHeight="1">
      <ns0:c r="A145" s="191" t="str">
        <ns0:v>2026-07-20</ns0:v>
      </ns0:c>
      <ns0:c r="B145" s="191" t="str">
        <ns0:v>2026-07</ns0:v>
      </ns0:c>
      <ns0:c r="C145" s="191" t="str">
        <ns0:v>一</ns0:v>
      </ns0:c>
      <ns0:c r="D145" s="191" t="str">
        <ns0:v>工作日（含法定调班日）</ns0:v>
      </ns0:c>
      <ns0:c r="E145" s="191" t="str">
        <ns0:v>09:54</ns0:v>
      </ns0:c>
      <ns0:c r="F145" s="191" t="str">
        <ns0:v>20:01</ns0:v>
      </ns0:c>
      <ns0:c r="G145" s="214" t="n">
        <ns0:v>67</ns0:v>
      </ns0:c>
      <ns0:c r="H145" s="214" t="n">
        <ns0:v>0</ns0:v>
      </ns0:c>
      <ns0:c r="I145" s="192" t="n">
        <ns0:f>G145/60*'核算总览'!$B$3/(21.75*8)*1.5</ns0:f>
        <ns0:v>234.49209562579819</ns0:v>
      </ns0:c>
      <ns0:c r="J145" s="192"/>
      <ns0:c r="K145" s="192"/>
      <ns0:c r="L145" s="192"/>
      <ns0:c r="M145" s="191" t="str"/>
      <ns0:c r="N145" s="191" t="str">
        <ns0:v>/Users/a./Desktop/飞书考勤留存_2026-10-27/逐日原始打卡截图与汇总_2026-10-27/原始截图/2026-07-20_01_日历与上部.jpg</ns0:v>
      </ns0:c>
      <ns0:c r="O145" s="191" t="str">
        <ns0:v>/Users/a./Desktop/飞书考勤留存_2026-10-27/逐日原始打卡截图与汇总_2026-10-27/原始截图/2026-07-20_02_明细下部.jpg</ns0:v>
      </ns0:c>
      <ns0:c r="P145" s="215" t="n">
        <ns0:v>9.116666666666667</ns0:v>
      </ns0:c>
      <ns0:c r="Q145" s="230" t="n">
        <ns0:f>IF(P145&gt;=11,20%,IF(P145&gt;=10,10%,IF(P145&gt;=9,5%,0)))</ns0:f>
        <ns0:v>0.05</ns0:v>
      </ns0:c>
      <ns0:c r="R145" s="201" t="n">
        <ns0:f>IF(H145&gt;0,0,IF(P145&gt;=11,3,IF(P145&gt;=10,2,IF(P145&gt;=9,1,0))))</ns0:f>
        <ns0:v>1</ns0:v>
      </ns0:c>
      <ns0:c r="S145" s="201" t="n">
        <ns0:f>Q145/5%</ns0:f>
        <ns0:v>1</ns0:v>
      </ns0:c>
    </ns0:row>
    <ns0:row r="146" ht="24" customHeight="1">
      <ns0:c r="A146" s="191" t="str">
        <ns0:v>2026-07-21</ns0:v>
      </ns0:c>
      <ns0:c r="B146" s="191" t="str">
        <ns0:v>2026-07</ns0:v>
      </ns0:c>
      <ns0:c r="C146" s="191" t="str">
        <ns0:v>二</ns0:v>
      </ns0:c>
      <ns0:c r="D146" s="191" t="str">
        <ns0:v>工作日（含法定调班日）</ns0:v>
      </ns0:c>
      <ns0:c r="E146" s="191" t="str">
        <ns0:v>09:57</ns0:v>
      </ns0:c>
      <ns0:c r="F146" s="191" t="str">
        <ns0:v>20:09</ns0:v>
      </ns0:c>
      <ns0:c r="G146" s="214" t="n">
        <ns0:v>72</ns0:v>
      </ns0:c>
      <ns0:c r="H146" s="214" t="n">
        <ns0:v>0</ns0:v>
      </ns0:c>
      <ns0:c r="I146" s="192" t="n">
        <ns0:f>G146/60*'核算总览'!$B$3/(21.75*8)*1.5</ns0:f>
        <ns0:v>251.99150574712644</ns0:v>
      </ns0:c>
      <ns0:c r="J146" s="192"/>
      <ns0:c r="K146" s="192"/>
      <ns0:c r="L146" s="192"/>
      <ns0:c r="M146" s="191" t="str"/>
      <ns0:c r="N146" s="191" t="str">
        <ns0:v>/Users/a./Desktop/飞书考勤留存_2026-10-27/逐日原始打卡截图与汇总_2026-10-27/原始截图/2026-07-21_01_日历与上部.jpg</ns0:v>
      </ns0:c>
      <ns0:c r="O146" s="191" t="str">
        <ns0:v>/Users/a./Desktop/飞书考勤留存_2026-10-27/逐日原始打卡截图与汇总_2026-10-27/原始截图/2026-07-21_02_明细下部.jpg</ns0:v>
      </ns0:c>
      <ns0:c r="P146" s="215" t="n">
        <ns0:v>9.2</ns0:v>
      </ns0:c>
      <ns0:c r="Q146" s="230" t="n">
        <ns0:f>IF(P146&gt;=11,20%,IF(P146&gt;=10,10%,IF(P146&gt;=9,5%,0)))</ns0:f>
        <ns0:v>0.05</ns0:v>
      </ns0:c>
      <ns0:c r="R146" s="201" t="n">
        <ns0:f>IF(H146&gt;0,0,IF(P146&gt;=11,3,IF(P146&gt;=10,2,IF(P146&gt;=9,1,0))))</ns0:f>
        <ns0:v>1</ns0:v>
      </ns0:c>
      <ns0:c r="S146" s="201" t="n">
        <ns0:f>Q146/5%</ns0:f>
        <ns0:v>1</ns0:v>
      </ns0:c>
    </ns0:row>
    <ns0:row r="147" ht="24" customHeight="1">
      <ns0:c r="A147" s="191" t="str">
        <ns0:v>2026-07-22</ns0:v>
      </ns0:c>
      <ns0:c r="B147" s="191" t="str">
        <ns0:v>2026-07</ns0:v>
      </ns0:c>
      <ns0:c r="C147" s="191" t="str">
        <ns0:v>三</ns0:v>
      </ns0:c>
      <ns0:c r="D147" s="191" t="str">
        <ns0:v>工作日（含法定调班日）</ns0:v>
      </ns0:c>
      <ns0:c r="E147" s="191" t="str">
        <ns0:v>09:57</ns0:v>
      </ns0:c>
      <ns0:c r="F147" s="191" t="str">
        <ns0:v>20:08</ns0:v>
      </ns0:c>
      <ns0:c r="G147" s="214" t="n">
        <ns0:v>71</ns0:v>
      </ns0:c>
      <ns0:c r="H147" s="214" t="n">
        <ns0:v>0</ns0:v>
      </ns0:c>
      <ns0:c r="I147" s="192" t="n">
        <ns0:f>G147/60*'核算总览'!$B$3/(21.75*8)*1.5</ns0:f>
        <ns0:v>248.49162372286077</ns0:v>
      </ns0:c>
      <ns0:c r="J147" s="192"/>
      <ns0:c r="K147" s="192"/>
      <ns0:c r="L147" s="192"/>
      <ns0:c r="M147" s="191" t="str"/>
      <ns0:c r="N147" s="191" t="str">
        <ns0:v>/Users/a./Desktop/飞书考勤留存_2026-10-27/逐日原始打卡截图与汇总_2026-10-27/原始截图/2026-07-22_01_日历与上部.jpg</ns0:v>
      </ns0:c>
      <ns0:c r="O147" s="191" t="str">
        <ns0:v>/Users/a./Desktop/飞书考勤留存_2026-10-27/逐日原始打卡截图与汇总_2026-10-27/原始截图/2026-07-22_02_明细下部.jpg</ns0:v>
      </ns0:c>
      <ns0:c r="P147" s="215" t="n">
        <ns0:v>9.183333333333334</ns0:v>
      </ns0:c>
      <ns0:c r="Q147" s="230" t="n">
        <ns0:f>IF(P147&gt;=11,20%,IF(P147&gt;=10,10%,IF(P147&gt;=9,5%,0)))</ns0:f>
        <ns0:v>0.05</ns0:v>
      </ns0:c>
      <ns0:c r="R147" s="201" t="n">
        <ns0:f>IF(H147&gt;0,0,IF(P147&gt;=11,3,IF(P147&gt;=10,2,IF(P147&gt;=9,1,0))))</ns0:f>
        <ns0:v>1</ns0:v>
      </ns0:c>
      <ns0:c r="S147" s="201" t="n">
        <ns0:f>Q147/5%</ns0:f>
        <ns0:v>1</ns0:v>
      </ns0:c>
    </ns0:row>
    <ns0:row r="148" ht="24" customHeight="1">
      <ns0:c r="A148" s="191" t="str">
        <ns0:v>2026-07-23</ns0:v>
      </ns0:c>
      <ns0:c r="B148" s="191" t="str">
        <ns0:v>2026-07</ns0:v>
      </ns0:c>
      <ns0:c r="C148" s="191" t="str">
        <ns0:v>四</ns0:v>
      </ns0:c>
      <ns0:c r="D148" s="191" t="str">
        <ns0:v>工作日（含法定调班日）</ns0:v>
      </ns0:c>
      <ns0:c r="E148" s="191" t="str">
        <ns0:v>09:57</ns0:v>
      </ns0:c>
      <ns0:c r="F148" s="191" t="str">
        <ns0:v>20:00</ns0:v>
      </ns0:c>
      <ns0:c r="G148" s="214" t="n">
        <ns0:v>63</ns0:v>
      </ns0:c>
      <ns0:c r="H148" s="214" t="n">
        <ns0:v>0</ns0:v>
      </ns0:c>
      <ns0:c r="I148" s="192" t="n">
        <ns0:f>G148/60*'核算总览'!$B$3/(21.75*8)*1.5</ns0:f>
        <ns0:v>220.49256752873563</ns0:v>
      </ns0:c>
      <ns0:c r="J148" s="192"/>
      <ns0:c r="K148" s="192"/>
      <ns0:c r="L148" s="192"/>
      <ns0:c r="M148" s="191" t="str"/>
      <ns0:c r="N148" s="191" t="str">
        <ns0:v>/Users/a./Desktop/飞书考勤留存_2026-10-27/逐日原始打卡截图与汇总_2026-10-27/原始截图/2026-07-23_01_日历与上部.jpg</ns0:v>
      </ns0:c>
      <ns0:c r="O148" s="191" t="str">
        <ns0:v>/Users/a./Desktop/飞书考勤留存_2026-10-27/逐日原始打卡截图与汇总_2026-10-27/原始截图/2026-07-23_02_明细下部.jpg</ns0:v>
      </ns0:c>
      <ns0:c r="P148" s="215" t="n">
        <ns0:v>9.05</ns0:v>
      </ns0:c>
      <ns0:c r="Q148" s="230" t="n">
        <ns0:f>IF(P148&gt;=11,20%,IF(P148&gt;=10,10%,IF(P148&gt;=9,5%,0)))</ns0:f>
        <ns0:v>0.05</ns0:v>
      </ns0:c>
      <ns0:c r="R148" s="201" t="n">
        <ns0:f>IF(H148&gt;0,0,IF(P148&gt;=11,3,IF(P148&gt;=10,2,IF(P148&gt;=9,1,0))))</ns0:f>
        <ns0:v>1</ns0:v>
      </ns0:c>
      <ns0:c r="S148" s="201" t="n">
        <ns0:f>Q148/5%</ns0:f>
        <ns0:v>1</ns0:v>
      </ns0:c>
    </ns0:row>
    <ns0:row r="149" ht="24" customHeight="1">
      <ns0:c r="A149" s="191" t="str">
        <ns0:v>2026-07-24</ns0:v>
      </ns0:c>
      <ns0:c r="B149" s="191" t="str">
        <ns0:v>2026-07</ns0:v>
      </ns0:c>
      <ns0:c r="C149" s="191" t="str">
        <ns0:v>五</ns0:v>
      </ns0:c>
      <ns0:c r="D149" s="191" t="str">
        <ns0:v>工作日（含法定调班日）</ns0:v>
      </ns0:c>
      <ns0:c r="E149" s="191" t="str">
        <ns0:v>09:56</ns0:v>
      </ns0:c>
      <ns0:c r="F149" s="191" t="str">
        <ns0:v>19:56</ns0:v>
      </ns0:c>
      <ns0:c r="G149" s="214" t="n">
        <ns0:v>60</ns0:v>
      </ns0:c>
      <ns0:c r="H149" s="214" t="n">
        <ns0:v>0</ns0:v>
      </ns0:c>
      <ns0:c r="I149" s="192" t="n">
        <ns0:f>G149/60*'核算总览'!$B$3/(21.75*8)*1.5</ns0:f>
        <ns0:v>209.9929214559387</ns0:v>
      </ns0:c>
      <ns0:c r="J149" s="192"/>
      <ns0:c r="K149" s="192"/>
      <ns0:c r="L149" s="192"/>
      <ns0:c r="M149" s="191" t="str"/>
      <ns0:c r="N149" s="191" t="str">
        <ns0:v>/Users/a./Desktop/飞书考勤留存_2026-10-27/逐日原始打卡截图与汇总_2026-10-27/原始截图/2026-07-24_01_日历与上部.jpg</ns0:v>
      </ns0:c>
      <ns0:c r="O149" s="191" t="str">
        <ns0:v>/Users/a./Desktop/飞书考勤留存_2026-10-27/逐日原始打卡截图与汇总_2026-10-27/原始截图/2026-07-24_02_明细下部.jpg</ns0:v>
      </ns0:c>
      <ns0:c r="P149" s="215" t="n">
        <ns0:v>9</ns0:v>
      </ns0:c>
      <ns0:c r="Q149" s="230" t="n">
        <ns0:f>IF(P149&gt;=11,20%,IF(P149&gt;=10,10%,IF(P149&gt;=9,5%,0)))</ns0:f>
        <ns0:v>0.05</ns0:v>
      </ns0:c>
      <ns0:c r="R149" s="201" t="n">
        <ns0:f>IF(H149&gt;0,0,IF(P149&gt;=11,3,IF(P149&gt;=10,2,IF(P149&gt;=9,1,0))))</ns0:f>
        <ns0:v>1</ns0:v>
      </ns0:c>
      <ns0:c r="S149" s="201" t="n">
        <ns0:f>Q149/5%</ns0:f>
        <ns0:v>1</ns0:v>
      </ns0:c>
    </ns0:row>
    <ns0:row r="150" ht="24" customHeight="1">
      <ns0:c r="A150" s="191" t="str">
        <ns0:v>2026-07-26</ns0:v>
      </ns0:c>
      <ns0:c r="B150" s="191" t="str">
        <ns0:v>2026-07</ns0:v>
      </ns0:c>
      <ns0:c r="C150" s="191" t="str">
        <ns0:v>日</ns0:v>
      </ns0:c>
      <ns0:c r="D150" s="191" t="str">
        <ns0:v>休息日或假期</ns0:v>
      </ns0:c>
      <ns0:c r="E150" s="191" t="str">
        <ns0:v>09:54</ns0:v>
      </ns0:c>
      <ns0:c r="F150" s="191" t="str">
        <ns0:v>20:11</ns0:v>
      </ns0:c>
      <ns0:c r="G150" s="214" t="n">
        <ns0:v>0</ns0:v>
      </ns0:c>
      <ns0:c r="H150" s="214" t="n">
        <ns0:v>557</ns0:v>
      </ns0:c>
      <ns0:c r="I150" s="192" t="n">
        <ns0:f>G150/60*'核算总览'!$B$3/(21.75*8)*1.5</ns0:f>
        <ns0:v>0</ns0:v>
      </ns0:c>
      <ns0:c r="J150" s="192"/>
      <ns0:c r="K150" s="192"/>
      <ns0:c r="L150" s="192"/>
      <ns0:c r="M150" s="191" t="str"/>
      <ns0:c r="N150" s="191" t="str">
        <ns0:v>/Users/a./Desktop/飞书考勤留存_2026-10-27/逐日原始打卡截图与汇总_2026-10-27/原始截图/2026-07-26_01_日历与上部.jpg</ns0:v>
      </ns0:c>
      <ns0:c r="O150" s="191" t="str">
        <ns0:v>/Users/a./Desktop/飞书考勤留存_2026-10-27/逐日原始打卡截图与汇总_2026-10-27/原始截图/2026-07-26_02_明细下部.jpg</ns0:v>
      </ns0:c>
      <ns0:c r="P150" s="215" t="n">
        <ns0:v>9.283333333333333</ns0:v>
      </ns0:c>
      <ns0:c r="Q150" s="230" t="n">
        <ns0:f>IF(P150&gt;=11,20%,IF(P150&gt;=10,10%,IF(P150&gt;=9,5%,0)))</ns0:f>
        <ns0:v>0.05</ns0:v>
      </ns0:c>
      <ns0:c r="R150" s="201" t="n">
        <ns0:f>IF(H150&gt;0,0,IF(P150&gt;=11,3,IF(P150&gt;=10,2,IF(P150&gt;=9,1,0))))</ns0:f>
        <ns0:v>0</ns0:v>
      </ns0:c>
      <ns0:c r="S150" s="201" t="n">
        <ns0:f>Q150/5%</ns0:f>
        <ns0:v>1</ns0:v>
      </ns0:c>
    </ns0:row>
    <ns0:row r="151" ht="24" customHeight="1">
      <ns0:c r="A151" s="191" t="str">
        <ns0:v>2026-07-27</ns0:v>
      </ns0:c>
      <ns0:c r="B151" s="191" t="str">
        <ns0:v>2026-07</ns0:v>
      </ns0:c>
      <ns0:c r="C151" s="191" t="str">
        <ns0:v>一</ns0:v>
      </ns0:c>
      <ns0:c r="D151" s="191" t="str">
        <ns0:v>工作日（含法定调班日）</ns0:v>
      </ns0:c>
      <ns0:c r="E151" s="191" t="str">
        <ns0:v>10:18</ns0:v>
      </ns0:c>
      <ns0:c r="F151" s="191" t="str">
        <ns0:v>19:04</ns0:v>
      </ns0:c>
      <ns0:c r="G151" s="214" t="n">
        <ns0:v>0</ns0:v>
      </ns0:c>
      <ns0:c r="H151" s="214" t="n">
        <ns0:v>0</ns0:v>
      </ns0:c>
      <ns0:c r="I151" s="192" t="n">
        <ns0:f>G151/60*'核算总览'!$B$3/(21.75*8)*1.5</ns0:f>
        <ns0:v>0</ns0:v>
      </ns0:c>
      <ns0:c r="J151" s="192"/>
      <ns0:c r="K151" s="192"/>
      <ns0:c r="L151" s="192"/>
      <ns0:c r="M151" s="191" t="str">
        <ns0:v>事假、请假</ns0:v>
      </ns0:c>
      <ns0:c r="N151" s="191" t="str">
        <ns0:v>/Users/a./Desktop/飞书考勤留存_2026-10-27/逐日原始打卡截图与汇总_2026-10-27/原始截图/2026-07-27_01_日历与上部.jpg</ns0:v>
      </ns0:c>
      <ns0:c r="O151" s="191" t="str">
        <ns0:v>/Users/a./Desktop/飞书考勤留存_2026-10-27/逐日原始打卡截图与汇总_2026-10-27/原始截图/2026-07-27_02_明细下部.jpg</ns0:v>
      </ns0:c>
      <ns0:c r="P151" s="215" t="n">
        <ns0:v>7.766666666666667</ns0:v>
      </ns0:c>
      <ns0:c r="Q151" s="230" t="n">
        <ns0:f>IF(P151&gt;=11,20%,IF(P151&gt;=10,10%,IF(P151&gt;=9,5%,0)))</ns0:f>
        <ns0:v>0</ns0:v>
      </ns0:c>
      <ns0:c r="R151" s="201" t="n">
        <ns0:f>IF(H151&gt;0,0,IF(P151&gt;=11,3,IF(P151&gt;=10,2,IF(P151&gt;=9,1,0))))</ns0:f>
        <ns0:v>0</ns0:v>
      </ns0:c>
      <ns0:c r="S151" s="201" t="n">
        <ns0:f>Q151/5%</ns0:f>
        <ns0:v>0</ns0:v>
      </ns0:c>
    </ns0:row>
    <ns0:row r="152" ht="24" customHeight="1">
      <ns0:c r="A152" s="191" t="str">
        <ns0:v>2026-07-28</ns0:v>
      </ns0:c>
      <ns0:c r="B152" s="191" t="str">
        <ns0:v>2026-07</ns0:v>
      </ns0:c>
      <ns0:c r="C152" s="191" t="str">
        <ns0:v>二</ns0:v>
      </ns0:c>
      <ns0:c r="D152" s="191" t="str">
        <ns0:v>工作日（含法定调班日）</ns0:v>
      </ns0:c>
      <ns0:c r="E152" s="191" t="str">
        <ns0:v>09:57</ns0:v>
      </ns0:c>
      <ns0:c r="F152" s="191" t="str">
        <ns0:v>20:02</ns0:v>
      </ns0:c>
      <ns0:c r="G152" s="214" t="n">
        <ns0:v>65</ns0:v>
      </ns0:c>
      <ns0:c r="H152" s="214" t="n">
        <ns0:v>0</ns0:v>
      </ns0:c>
      <ns0:c r="I152" s="192" t="n">
        <ns0:f>G152/60*'核算总览'!$B$3/(21.75*8)*1.5</ns0:f>
        <ns0:v>227.49233157726687</ns0:v>
      </ns0:c>
      <ns0:c r="J152" s="192"/>
      <ns0:c r="K152" s="192"/>
      <ns0:c r="L152" s="192"/>
      <ns0:c r="M152" s="191" t="str"/>
      <ns0:c r="N152" s="191" t="str">
        <ns0:v>/Users/a./Desktop/飞书考勤留存_2026-10-27/逐日原始打卡截图与汇总_2026-10-27/原始截图/2026-07-28_01_日历与上部.jpg</ns0:v>
      </ns0:c>
      <ns0:c r="O152" s="191" t="str">
        <ns0:v>/Users/a./Desktop/飞书考勤留存_2026-10-27/逐日原始打卡截图与汇总_2026-10-27/原始截图/2026-07-28_02_明细下部.jpg</ns0:v>
      </ns0:c>
      <ns0:c r="P152" s="215" t="n">
        <ns0:v>9.083333333333334</ns0:v>
      </ns0:c>
      <ns0:c r="Q152" s="230" t="n">
        <ns0:f>IF(P152&gt;=11,20%,IF(P152&gt;=10,10%,IF(P152&gt;=9,5%,0)))</ns0:f>
        <ns0:v>0.05</ns0:v>
      </ns0:c>
      <ns0:c r="R152" s="201" t="n">
        <ns0:f>IF(H152&gt;0,0,IF(P152&gt;=11,3,IF(P152&gt;=10,2,IF(P152&gt;=9,1,0))))</ns0:f>
        <ns0:v>1</ns0:v>
      </ns0:c>
      <ns0:c r="S152" s="201" t="n">
        <ns0:f>Q152/5%</ns0:f>
        <ns0:v>1</ns0:v>
      </ns0:c>
    </ns0:row>
    <ns0:row r="153" ht="24" customHeight="1">
      <ns0:c r="A153" s="191" t="str">
        <ns0:v>2026-07-29</ns0:v>
      </ns0:c>
      <ns0:c r="B153" s="191" t="str">
        <ns0:v>2026-07</ns0:v>
      </ns0:c>
      <ns0:c r="C153" s="191" t="str">
        <ns0:v>三</ns0:v>
      </ns0:c>
      <ns0:c r="D153" s="191" t="str">
        <ns0:v>工作日（含法定调班日）</ns0:v>
      </ns0:c>
      <ns0:c r="E153" s="191" t="str">
        <ns0:v>09:57</ns0:v>
      </ns0:c>
      <ns0:c r="F153" s="191" t="str">
        <ns0:v>19:10</ns0:v>
      </ns0:c>
      <ns0:c r="G153" s="214" t="n">
        <ns0:v>13</ns0:v>
      </ns0:c>
      <ns0:c r="H153" s="214" t="n">
        <ns0:v>0</ns0:v>
      </ns0:c>
      <ns0:c r="I153" s="192" t="n">
        <ns0:f>G153/60*'核算总览'!$B$3/(21.75*8)*1.5</ns0:f>
        <ns0:v>45.498466315453385</ns0:v>
      </ns0:c>
      <ns0:c r="J153" s="192"/>
      <ns0:c r="K153" s="192"/>
      <ns0:c r="L153" s="192"/>
      <ns0:c r="M153" s="191" t="str"/>
      <ns0:c r="N153" s="191" t="str">
        <ns0:v>/Users/a./Desktop/飞书考勤留存_2026-10-27/逐日原始打卡截图与汇总_2026-10-27/原始截图/2026-07-29_01_日历与上部.jpg</ns0:v>
      </ns0:c>
      <ns0:c r="O153" s="191" t="str">
        <ns0:v>/Users/a./Desktop/飞书考勤留存_2026-10-27/逐日原始打卡截图与汇总_2026-10-27/原始截图/2026-07-29_02_明细下部.jpg</ns0:v>
      </ns0:c>
      <ns0:c r="P153" s="215" t="n">
        <ns0:v>8.216666666666667</ns0:v>
      </ns0:c>
      <ns0:c r="Q153" s="230" t="n">
        <ns0:f>IF(P153&gt;=11,20%,IF(P153&gt;=10,10%,IF(P153&gt;=9,5%,0)))</ns0:f>
        <ns0:v>0</ns0:v>
      </ns0:c>
      <ns0:c r="R153" s="201" t="n">
        <ns0:f>IF(H153&gt;0,0,IF(P153&gt;=11,3,IF(P153&gt;=10,2,IF(P153&gt;=9,1,0))))</ns0:f>
        <ns0:v>0</ns0:v>
      </ns0:c>
      <ns0:c r="S153" s="201" t="n">
        <ns0:f>Q153/5%</ns0:f>
        <ns0:v>0</ns0:v>
      </ns0:c>
    </ns0:row>
    <ns0:row r="154" ht="24" customHeight="1">
      <ns0:c r="A154" s="191" t="str">
        <ns0:v>2026-07-30</ns0:v>
      </ns0:c>
      <ns0:c r="B154" s="191" t="str">
        <ns0:v>2026-07</ns0:v>
      </ns0:c>
      <ns0:c r="C154" s="191" t="str">
        <ns0:v>四</ns0:v>
      </ns0:c>
      <ns0:c r="D154" s="191" t="str">
        <ns0:v>工作日（含法定调班日）</ns0:v>
      </ns0:c>
      <ns0:c r="E154" s="191" t="str">
        <ns0:v>09:56</ns0:v>
      </ns0:c>
      <ns0:c r="F154" s="191" t="str">
        <ns0:v>19:57</ns0:v>
      </ns0:c>
      <ns0:c r="G154" s="214" t="n">
        <ns0:v>61</ns0:v>
      </ns0:c>
      <ns0:c r="H154" s="214" t="n">
        <ns0:v>0</ns0:v>
      </ns0:c>
      <ns0:c r="I154" s="192" t="n">
        <ns0:f>G154/60*'核算总览'!$B$3/(21.75*8)*1.5</ns0:f>
        <ns0:v>213.49280348020432</ns0:v>
      </ns0:c>
      <ns0:c r="J154" s="192"/>
      <ns0:c r="K154" s="192"/>
      <ns0:c r="L154" s="192"/>
      <ns0:c r="M154" s="191" t="str"/>
      <ns0:c r="N154" s="191" t="str">
        <ns0:v>/Users/a./Desktop/飞书考勤留存_2026-10-27/逐日原始打卡截图与汇总_2026-10-27/原始截图/2026-07-30_01_日历与上部.jpg</ns0:v>
      </ns0:c>
      <ns0:c r="O154" s="191" t="str">
        <ns0:v>/Users/a./Desktop/飞书考勤留存_2026-10-27/逐日原始打卡截图与汇总_2026-10-27/原始截图/2026-07-30_02_明细下部.jpg</ns0:v>
      </ns0:c>
      <ns0:c r="P154" s="215" t="n">
        <ns0:v>9.016666666666667</ns0:v>
      </ns0:c>
      <ns0:c r="Q154" s="230" t="n">
        <ns0:f>IF(P154&gt;=11,20%,IF(P154&gt;=10,10%,IF(P154&gt;=9,5%,0)))</ns0:f>
        <ns0:v>0.05</ns0:v>
      </ns0:c>
      <ns0:c r="R154" s="201" t="n">
        <ns0:f>IF(H154&gt;0,0,IF(P154&gt;=11,3,IF(P154&gt;=10,2,IF(P154&gt;=9,1,0))))</ns0:f>
        <ns0:v>1</ns0:v>
      </ns0:c>
      <ns0:c r="S154" s="201" t="n">
        <ns0:f>Q154/5%</ns0:f>
        <ns0:v>1</ns0:v>
      </ns0:c>
    </ns0:row>
    <ns0:row r="155" ht="24" customHeight="1">
      <ns0:c r="A155" s="191" t="str">
        <ns0:v>2026-07-31</ns0:v>
      </ns0:c>
      <ns0:c r="B155" s="191" t="str">
        <ns0:v>2026-07</ns0:v>
      </ns0:c>
      <ns0:c r="C155" s="191" t="str">
        <ns0:v>五</ns0:v>
      </ns0:c>
      <ns0:c r="D155" s="191" t="str">
        <ns0:v>工作日（含法定调班日）</ns0:v>
      </ns0:c>
      <ns0:c r="E155" s="191" t="str">
        <ns0:v>09:53</ns0:v>
      </ns0:c>
      <ns0:c r="F155" s="191" t="str">
        <ns0:v>19:16</ns0:v>
      </ns0:c>
      <ns0:c r="G155" s="214" t="n">
        <ns0:v>23</ns0:v>
      </ns0:c>
      <ns0:c r="H155" s="214" t="n">
        <ns0:v>0</ns0:v>
      </ns0:c>
      <ns0:c r="I155" s="192" t="n">
        <ns0:f>G155/60*'核算总览'!$B$3/(21.75*8)*1.5</ns0:f>
        <ns0:v>80.49728655810983</ns0:v>
      </ns0:c>
      <ns0:c r="J155" s="192"/>
      <ns0:c r="K155" s="192"/>
      <ns0:c r="L155" s="192"/>
      <ns0:c r="M155" s="191" t="str"/>
      <ns0:c r="N155" s="191" t="str">
        <ns0:v>/Users/a./Desktop/飞书考勤留存_2026-10-27/逐日原始打卡截图与汇总_2026-10-27/原始截图/2026-07-31_01_日历与上部.jpg</ns0:v>
      </ns0:c>
      <ns0:c r="O155" s="191" t="str">
        <ns0:v>/Users/a./Desktop/飞书考勤留存_2026-10-27/逐日原始打卡截图与汇总_2026-10-27/原始截图/2026-07-31_02_明细下部.jpg</ns0:v>
      </ns0:c>
      <ns0:c r="P155" s="215" t="n">
        <ns0:v>8.383333333333333</ns0:v>
      </ns0:c>
      <ns0:c r="Q155" s="230" t="n">
        <ns0:f>IF(P155&gt;=11,20%,IF(P155&gt;=10,10%,IF(P155&gt;=9,5%,0)))</ns0:f>
        <ns0:v>0</ns0:v>
      </ns0:c>
      <ns0:c r="R155" s="201" t="n">
        <ns0:f>IF(H155&gt;0,0,IF(P155&gt;=11,3,IF(P155&gt;=10,2,IF(P155&gt;=9,1,0))))</ns0:f>
        <ns0:v>0</ns0:v>
      </ns0:c>
      <ns0:c r="S155" s="201" t="n">
        <ns0:f>Q155/5%</ns0:f>
        <ns0:v>0</ns0:v>
      </ns0:c>
    </ns0:row>
    <ns0:row r="156" ht="24" customHeight="1">
      <ns0:c r="A156" s="191" t="str">
        <ns0:v>2026-08-03</ns0:v>
      </ns0:c>
      <ns0:c r="B156" s="191" t="str">
        <ns0:v>2026-08</ns0:v>
      </ns0:c>
      <ns0:c r="C156" s="191" t="str">
        <ns0:v>一</ns0:v>
      </ns0:c>
      <ns0:c r="D156" s="191" t="str">
        <ns0:v>工作日（含法定调班日）</ns0:v>
      </ns0:c>
      <ns0:c r="E156" s="191" t="str">
        <ns0:v>09:55</ns0:v>
      </ns0:c>
      <ns0:c r="F156" s="191" t="str">
        <ns0:v>20:00</ns0:v>
      </ns0:c>
      <ns0:c r="G156" s="214" t="n">
        <ns0:v>65</ns0:v>
      </ns0:c>
      <ns0:c r="H156" s="214" t="n">
        <ns0:v>0</ns0:v>
      </ns0:c>
      <ns0:c r="I156" s="192" t="n">
        <ns0:f>G156/60*'核算总览'!$B$3/(21.75*8)*1.5</ns0:f>
        <ns0:v>227.49233157726687</ns0:v>
      </ns0:c>
      <ns0:c r="J156" s="192"/>
      <ns0:c r="K156" s="192"/>
      <ns0:c r="L156" s="192"/>
      <ns0:c r="M156" s="191" t="str"/>
      <ns0:c r="N156" s="191" t="str">
        <ns0:v>/Users/a./Desktop/飞书考勤留存_2026-10-27/逐日原始打卡截图与汇总_2026-10-27/原始截图/2026-08-03_01_日历与上部.jpg</ns0:v>
      </ns0:c>
      <ns0:c r="O156" s="191" t="str">
        <ns0:v>/Users/a./Desktop/飞书考勤留存_2026-10-27/逐日原始打卡截图与汇总_2026-10-27/原始截图/2026-08-03_02_明细下部.jpg</ns0:v>
      </ns0:c>
      <ns0:c r="P156" s="215" t="n">
        <ns0:v>9.083333333333334</ns0:v>
      </ns0:c>
      <ns0:c r="Q156" s="230" t="n">
        <ns0:f>IF(P156&gt;=11,20%,IF(P156&gt;=10,10%,IF(P156&gt;=9,5%,0)))</ns0:f>
        <ns0:v>0.05</ns0:v>
      </ns0:c>
      <ns0:c r="R156" s="201" t="n">
        <ns0:f>IF(H156&gt;0,0,IF(P156&gt;=11,3,IF(P156&gt;=10,2,IF(P156&gt;=9,1,0))))</ns0:f>
        <ns0:v>1</ns0:v>
      </ns0:c>
      <ns0:c r="S156" s="201" t="n">
        <ns0:f>Q156/5%</ns0:f>
        <ns0:v>1</ns0:v>
      </ns0:c>
    </ns0:row>
    <ns0:row r="157" ht="24" customHeight="1">
      <ns0:c r="A157" s="191" t="str">
        <ns0:v>2026-08-04</ns0:v>
      </ns0:c>
      <ns0:c r="B157" s="191" t="str">
        <ns0:v>2026-08</ns0:v>
      </ns0:c>
      <ns0:c r="C157" s="191" t="str">
        <ns0:v>二</ns0:v>
      </ns0:c>
      <ns0:c r="D157" s="191" t="str">
        <ns0:v>工作日（含法定调班日）</ns0:v>
      </ns0:c>
      <ns0:c r="E157" s="191" t="str">
        <ns0:v>10:00</ns0:v>
      </ns0:c>
      <ns0:c r="F157" s="191" t="str">
        <ns0:v>20:00</ns0:v>
      </ns0:c>
      <ns0:c r="G157" s="214" t="n">
        <ns0:v>60</ns0:v>
      </ns0:c>
      <ns0:c r="H157" s="214" t="n">
        <ns0:v>0</ns0:v>
      </ns0:c>
      <ns0:c r="I157" s="192" t="n">
        <ns0:f>G157/60*'核算总览'!$B$3/(21.75*8)*1.5</ns0:f>
        <ns0:v>209.9929214559387</ns0:v>
      </ns0:c>
      <ns0:c r="J157" s="192"/>
      <ns0:c r="K157" s="192"/>
      <ns0:c r="L157" s="192"/>
      <ns0:c r="M157" s="191" t="str"/>
      <ns0:c r="N157" s="191" t="str">
        <ns0:v>/Users/a./Desktop/飞书考勤留存_2026-10-27/逐日原始打卡截图与汇总_2026-10-27/原始截图/2026-08-04_01_日历与上部.jpg</ns0:v>
      </ns0:c>
      <ns0:c r="O157" s="191" t="str">
        <ns0:v>/Users/a./Desktop/飞书考勤留存_2026-10-27/逐日原始打卡截图与汇总_2026-10-27/原始截图/2026-08-04_02_明细下部.jpg</ns0:v>
      </ns0:c>
      <ns0:c r="P157" s="215" t="n">
        <ns0:v>9</ns0:v>
      </ns0:c>
      <ns0:c r="Q157" s="230" t="n">
        <ns0:f>IF(P157&gt;=11,20%,IF(P157&gt;=10,10%,IF(P157&gt;=9,5%,0)))</ns0:f>
        <ns0:v>0.05</ns0:v>
      </ns0:c>
      <ns0:c r="R157" s="201" t="n">
        <ns0:f>IF(H157&gt;0,0,IF(P157&gt;=11,3,IF(P157&gt;=10,2,IF(P157&gt;=9,1,0))))</ns0:f>
        <ns0:v>1</ns0:v>
      </ns0:c>
      <ns0:c r="S157" s="201" t="n">
        <ns0:f>Q157/5%</ns0:f>
        <ns0:v>1</ns0:v>
      </ns0:c>
    </ns0:row>
    <ns0:row r="158" ht="24" customHeight="1">
      <ns0:c r="A158" s="191" t="str">
        <ns0:v>2026-08-05</ns0:v>
      </ns0:c>
      <ns0:c r="B158" s="191" t="str">
        <ns0:v>2026-08</ns0:v>
      </ns0:c>
      <ns0:c r="C158" s="191" t="str">
        <ns0:v>三</ns0:v>
      </ns0:c>
      <ns0:c r="D158" s="191" t="str">
        <ns0:v>工作日（含法定调班日）</ns0:v>
      </ns0:c>
      <ns0:c r="E158" s="191" t="str">
        <ns0:v>09:55</ns0:v>
      </ns0:c>
      <ns0:c r="F158" s="191" t="str">
        <ns0:v>19:01</ns0:v>
      </ns0:c>
      <ns0:c r="G158" s="214" t="n">
        <ns0:v>6</ns0:v>
      </ns0:c>
      <ns0:c r="H158" s="214" t="n">
        <ns0:v>0</ns0:v>
      </ns0:c>
      <ns0:c r="I158" s="192" t="n">
        <ns0:f>G158/60*'核算总览'!$B$3/(21.75*8)*1.5</ns0:f>
        <ns0:v>20.999292145593866</ns0:v>
      </ns0:c>
      <ns0:c r="J158" s="192"/>
      <ns0:c r="K158" s="192"/>
      <ns0:c r="L158" s="192"/>
      <ns0:c r="M158" s="191" t="str"/>
      <ns0:c r="N158" s="191" t="str">
        <ns0:v>/Users/a./Desktop/飞书考勤留存_2026-10-27/逐日原始打卡截图与汇总_2026-10-27/原始截图/2026-08-05_01_日历与上部.jpg</ns0:v>
      </ns0:c>
      <ns0:c r="O158" s="191" t="str">
        <ns0:v>/Users/a./Desktop/飞书考勤留存_2026-10-27/逐日原始打卡截图与汇总_2026-10-27/原始截图/2026-08-05_02_明细下部.jpg</ns0:v>
      </ns0:c>
      <ns0:c r="P158" s="215" t="n">
        <ns0:v>8.1</ns0:v>
      </ns0:c>
      <ns0:c r="Q158" s="230" t="n">
        <ns0:f>IF(P158&gt;=11,20%,IF(P158&gt;=10,10%,IF(P158&gt;=9,5%,0)))</ns0:f>
        <ns0:v>0</ns0:v>
      </ns0:c>
      <ns0:c r="R158" s="201" t="n">
        <ns0:f>IF(H158&gt;0,0,IF(P158&gt;=11,3,IF(P158&gt;=10,2,IF(P158&gt;=9,1,0))))</ns0:f>
        <ns0:v>0</ns0:v>
      </ns0:c>
      <ns0:c r="S158" s="201" t="n">
        <ns0:f>Q158/5%</ns0:f>
        <ns0:v>0</ns0:v>
      </ns0:c>
    </ns0:row>
    <ns0:row r="159" ht="24" customHeight="1">
      <ns0:c r="A159" s="191" t="str">
        <ns0:v>2026-08-06</ns0:v>
      </ns0:c>
      <ns0:c r="B159" s="191" t="str">
        <ns0:v>2026-08</ns0:v>
      </ns0:c>
      <ns0:c r="C159" s="191" t="str">
        <ns0:v>四</ns0:v>
      </ns0:c>
      <ns0:c r="D159" s="191" t="str">
        <ns0:v>工作日（含法定调班日）</ns0:v>
      </ns0:c>
      <ns0:c r="E159" s="191" t="str">
        <ns0:v>09:56</ns0:v>
      </ns0:c>
      <ns0:c r="F159" s="191" t="str">
        <ns0:v>19:06</ns0:v>
      </ns0:c>
      <ns0:c r="G159" s="214" t="n">
        <ns0:v>10</ns0:v>
      </ns0:c>
      <ns0:c r="H159" s="214" t="n">
        <ns0:v>0</ns0:v>
      </ns0:c>
      <ns0:c r="I159" s="192" t="n">
        <ns0:f>G159/60*'核算总览'!$B$3/(21.75*8)*1.5</ns0:f>
        <ns0:v>34.99882024265645</ns0:v>
      </ns0:c>
      <ns0:c r="J159" s="192"/>
      <ns0:c r="K159" s="192"/>
      <ns0:c r="L159" s="192"/>
      <ns0:c r="M159" s="191" t="str"/>
      <ns0:c r="N159" s="191" t="str">
        <ns0:v>/Users/a./Desktop/飞书考勤留存_2026-10-27/逐日原始打卡截图与汇总_2026-10-27/原始截图/2026-08-06_01_日历与上部.jpg</ns0:v>
      </ns0:c>
      <ns0:c r="O159" s="191" t="str">
        <ns0:v>/Users/a./Desktop/飞书考勤留存_2026-10-27/逐日原始打卡截图与汇总_2026-10-27/原始截图/2026-08-06_02_明细下部.jpg</ns0:v>
      </ns0:c>
      <ns0:c r="P159" s="215" t="n">
        <ns0:v>8.166666666666666</ns0:v>
      </ns0:c>
      <ns0:c r="Q159" s="230" t="n">
        <ns0:f>IF(P159&gt;=11,20%,IF(P159&gt;=10,10%,IF(P159&gt;=9,5%,0)))</ns0:f>
        <ns0:v>0</ns0:v>
      </ns0:c>
      <ns0:c r="R159" s="201" t="n">
        <ns0:f>IF(H159&gt;0,0,IF(P159&gt;=11,3,IF(P159&gt;=10,2,IF(P159&gt;=9,1,0))))</ns0:f>
        <ns0:v>0</ns0:v>
      </ns0:c>
      <ns0:c r="S159" s="201" t="n">
        <ns0:f>Q159/5%</ns0:f>
        <ns0:v>0</ns0:v>
      </ns0:c>
    </ns0:row>
    <ns0:row r="160" ht="24" customHeight="1">
      <ns0:c r="A160" s="191" t="str">
        <ns0:v>2026-08-07</ns0:v>
      </ns0:c>
      <ns0:c r="B160" s="191" t="str">
        <ns0:v>2026-08</ns0:v>
      </ns0:c>
      <ns0:c r="C160" s="191" t="str">
        <ns0:v>五</ns0:v>
      </ns0:c>
      <ns0:c r="D160" s="191" t="str">
        <ns0:v>工作日（含法定调班日）</ns0:v>
      </ns0:c>
      <ns0:c r="E160" s="191" t="str">
        <ns0:v>09:57</ns0:v>
      </ns0:c>
      <ns0:c r="F160" s="191" t="str">
        <ns0:v>18:57</ns0:v>
      </ns0:c>
      <ns0:c r="G160" s="214" t="n">
        <ns0:v>0</ns0:v>
      </ns0:c>
      <ns0:c r="H160" s="214" t="n">
        <ns0:v>0</ns0:v>
      </ns0:c>
      <ns0:c r="I160" s="192" t="n">
        <ns0:f>G160/60*'核算总览'!$B$3/(21.75*8)*1.5</ns0:f>
        <ns0:v>0</ns0:v>
      </ns0:c>
      <ns0:c r="J160" s="192"/>
      <ns0:c r="K160" s="192"/>
      <ns0:c r="L160" s="192"/>
      <ns0:c r="M160" s="191" t="str"/>
      <ns0:c r="N160" s="191" t="str">
        <ns0:v>/Users/a./Desktop/飞书考勤留存_2026-10-27/逐日原始打卡截图与汇总_2026-10-27/原始截图/2026-08-07_01_日历与上部.jpg</ns0:v>
      </ns0:c>
      <ns0:c r="O160" s="191" t="str">
        <ns0:v>/Users/a./Desktop/飞书考勤留存_2026-10-27/逐日原始打卡截图与汇总_2026-10-27/原始截图/2026-08-07_02_明细下部.jpg</ns0:v>
      </ns0:c>
      <ns0:c r="P160" s="215" t="n">
        <ns0:v>8</ns0:v>
      </ns0:c>
      <ns0:c r="Q160" s="230" t="n">
        <ns0:f>IF(P160&gt;=11,20%,IF(P160&gt;=10,10%,IF(P160&gt;=9,5%,0)))</ns0:f>
        <ns0:v>0</ns0:v>
      </ns0:c>
      <ns0:c r="R160" s="201" t="n">
        <ns0:f>IF(H160&gt;0,0,IF(P160&gt;=11,3,IF(P160&gt;=10,2,IF(P160&gt;=9,1,0))))</ns0:f>
        <ns0:v>0</ns0:v>
      </ns0:c>
      <ns0:c r="S160" s="201" t="n">
        <ns0:f>Q160/5%</ns0:f>
        <ns0:v>0</ns0:v>
      </ns0:c>
    </ns0:row>
    <ns0:row r="161" ht="24" customHeight="1">
      <ns0:c r="A161" s="191" t="str">
        <ns0:v>2026-08-09</ns0:v>
      </ns0:c>
      <ns0:c r="B161" s="191" t="str">
        <ns0:v>2026-08</ns0:v>
      </ns0:c>
      <ns0:c r="C161" s="191" t="str">
        <ns0:v>日</ns0:v>
      </ns0:c>
      <ns0:c r="D161" s="191" t="str">
        <ns0:v>休息日或假期</ns0:v>
      </ns0:c>
      <ns0:c r="E161" s="191" t="str">
        <ns0:v>09:30</ns0:v>
      </ns0:c>
      <ns0:c r="F161" s="191" t="str">
        <ns0:v>18:30</ns0:v>
      </ns0:c>
      <ns0:c r="G161" s="214" t="n">
        <ns0:v>0</ns0:v>
      </ns0:c>
      <ns0:c r="H161" s="214" t="n">
        <ns0:v>480</ns0:v>
      </ns0:c>
      <ns0:c r="I161" s="192" t="n">
        <ns0:f>G161/60*'核算总览'!$B$3/(21.75*8)*1.5</ns0:f>
        <ns0:v>0</ns0:v>
      </ns0:c>
      <ns0:c r="J161" s="192"/>
      <ns0:c r="K161" s="192"/>
      <ns0:c r="L161" s="192"/>
      <ns0:c r="M161" s="191" t="str"/>
      <ns0:c r="N161" s="191" t="str">
        <ns0:v>/Users/a./Desktop/飞书考勤留存_2026-10-27/逐日原始打卡截图与汇总_2026-10-27/原始截图/2026-08-09_01_日历与上部.jpg</ns0:v>
      </ns0:c>
      <ns0:c r="O161" s="191" t="str">
        <ns0:v>/Users/a./Desktop/飞书考勤留存_2026-10-27/逐日原始打卡截图与汇总_2026-10-27/原始截图/2026-08-09_02_明细下部.jpg</ns0:v>
      </ns0:c>
      <ns0:c r="P161" s="215" t="n">
        <ns0:v>8</ns0:v>
      </ns0:c>
      <ns0:c r="Q161" s="230" t="n">
        <ns0:f>IF(P161&gt;=11,20%,IF(P161&gt;=10,10%,IF(P161&gt;=9,5%,0)))</ns0:f>
        <ns0:v>0</ns0:v>
      </ns0:c>
      <ns0:c r="R161" s="201" t="n">
        <ns0:f>IF(H161&gt;0,0,IF(P161&gt;=11,3,IF(P161&gt;=10,2,IF(P161&gt;=9,1,0))))</ns0:f>
        <ns0:v>0</ns0:v>
      </ns0:c>
      <ns0:c r="S161" s="201" t="n">
        <ns0:f>Q161/5%</ns0:f>
        <ns0:v>0</ns0:v>
      </ns0:c>
    </ns0:row>
    <ns0:row r="162" ht="24" customHeight="1">
      <ns0:c r="A162" s="191" t="str">
        <ns0:v>2026-08-10</ns0:v>
      </ns0:c>
      <ns0:c r="B162" s="191" t="str">
        <ns0:v>2026-08</ns0:v>
      </ns0:c>
      <ns0:c r="C162" s="191" t="str">
        <ns0:v>一</ns0:v>
      </ns0:c>
      <ns0:c r="D162" s="191" t="str">
        <ns0:v>工作日（含法定调班日）</ns0:v>
      </ns0:c>
      <ns0:c r="E162" s="191" t="str">
        <ns0:v>09:48</ns0:v>
      </ns0:c>
      <ns0:c r="F162" s="191" t="str">
        <ns0:v>19:59</ns0:v>
      </ns0:c>
      <ns0:c r="G162" s="214" t="n">
        <ns0:v>71</ns0:v>
      </ns0:c>
      <ns0:c r="H162" s="214" t="n">
        <ns0:v>0</ns0:v>
      </ns0:c>
      <ns0:c r="I162" s="192" t="n">
        <ns0:f>G162/60*'核算总览'!$B$3/(21.75*8)*1.5</ns0:f>
        <ns0:v>248.49162372286077</ns0:v>
      </ns0:c>
      <ns0:c r="J162" s="192"/>
      <ns0:c r="K162" s="192"/>
      <ns0:c r="L162" s="192"/>
      <ns0:c r="M162" s="191" t="str"/>
      <ns0:c r="N162" s="191" t="str">
        <ns0:v>/Users/a./Desktop/飞书考勤留存_2026-10-27/逐日原始打卡截图与汇总_2026-10-27/原始截图/2026-08-10_01_日历与上部.jpg</ns0:v>
      </ns0:c>
      <ns0:c r="O162" s="191" t="str">
        <ns0:v>/Users/a./Desktop/飞书考勤留存_2026-10-27/逐日原始打卡截图与汇总_2026-10-27/原始截图/2026-08-10_02_明细下部.jpg</ns0:v>
      </ns0:c>
      <ns0:c r="P162" s="215" t="n">
        <ns0:v>9.183333333333334</ns0:v>
      </ns0:c>
      <ns0:c r="Q162" s="230" t="n">
        <ns0:f>IF(P162&gt;=11,20%,IF(P162&gt;=10,10%,IF(P162&gt;=9,5%,0)))</ns0:f>
        <ns0:v>0.05</ns0:v>
      </ns0:c>
      <ns0:c r="R162" s="201" t="n">
        <ns0:f>IF(H162&gt;0,0,IF(P162&gt;=11,3,IF(P162&gt;=10,2,IF(P162&gt;=9,1,0))))</ns0:f>
        <ns0:v>1</ns0:v>
      </ns0:c>
      <ns0:c r="S162" s="201" t="n">
        <ns0:f>Q162/5%</ns0:f>
        <ns0:v>1</ns0:v>
      </ns0:c>
    </ns0:row>
    <ns0:row r="163" ht="24" customHeight="1">
      <ns0:c r="A163" s="191" t="str">
        <ns0:v>2026-08-11</ns0:v>
      </ns0:c>
      <ns0:c r="B163" s="191" t="str">
        <ns0:v>2026-08</ns0:v>
      </ns0:c>
      <ns0:c r="C163" s="191" t="str">
        <ns0:v>二</ns0:v>
      </ns0:c>
      <ns0:c r="D163" s="191" t="str">
        <ns0:v>工作日（含法定调班日）</ns0:v>
      </ns0:c>
      <ns0:c r="E163" s="191" t="str">
        <ns0:v>11:00</ns0:v>
      </ns0:c>
      <ns0:c r="F163" s="191" t="str">
        <ns0:v>19:06</ns0:v>
      </ns0:c>
      <ns0:c r="G163" s="214" t="n">
        <ns0:v>0</ns0:v>
      </ns0:c>
      <ns0:c r="H163" s="214" t="n">
        <ns0:v>0</ns0:v>
      </ns0:c>
      <ns0:c r="I163" s="192" t="n">
        <ns0:f>G163/60*'核算总览'!$B$3/(21.75*8)*1.5</ns0:f>
        <ns0:v>0</ns0:v>
      </ns0:c>
      <ns0:c r="J163" s="192"/>
      <ns0:c r="K163" s="192"/>
      <ns0:c r="L163" s="192"/>
      <ns0:c r="M163" s="191" t="str">
        <ns0:v>事假、请假</ns0:v>
      </ns0:c>
      <ns0:c r="N163" s="191" t="str">
        <ns0:v>/Users/a./Desktop/飞书考勤留存_2026-10-27/逐日原始打卡截图与汇总_2026-10-27/原始截图/2026-08-11_01_日历与上部.jpg</ns0:v>
      </ns0:c>
      <ns0:c r="O163" s="191" t="str">
        <ns0:v>/Users/a./Desktop/飞书考勤留存_2026-10-27/逐日原始打卡截图与汇总_2026-10-27/原始截图/2026-08-11_02_明细下部.jpg</ns0:v>
      </ns0:c>
      <ns0:c r="P163" s="215" t="n">
        <ns0:v>7.1</ns0:v>
      </ns0:c>
      <ns0:c r="Q163" s="230" t="n">
        <ns0:f>IF(P163&gt;=11,20%,IF(P163&gt;=10,10%,IF(P163&gt;=9,5%,0)))</ns0:f>
        <ns0:v>0</ns0:v>
      </ns0:c>
      <ns0:c r="R163" s="201" t="n">
        <ns0:f>IF(H163&gt;0,0,IF(P163&gt;=11,3,IF(P163&gt;=10,2,IF(P163&gt;=9,1,0))))</ns0:f>
        <ns0:v>0</ns0:v>
      </ns0:c>
      <ns0:c r="S163" s="201" t="n">
        <ns0:f>Q163/5%</ns0:f>
        <ns0:v>0</ns0:v>
      </ns0:c>
    </ns0:row>
    <ns0:row r="164" ht="24" customHeight="1">
      <ns0:c r="A164" s="191" t="str">
        <ns0:v>2026-08-12</ns0:v>
      </ns0:c>
      <ns0:c r="B164" s="191" t="str">
        <ns0:v>2026-08</ns0:v>
      </ns0:c>
      <ns0:c r="C164" s="191" t="str">
        <ns0:v>三</ns0:v>
      </ns0:c>
      <ns0:c r="D164" s="191" t="str">
        <ns0:v>工作日（含法定调班日）</ns0:v>
      </ns0:c>
      <ns0:c r="E164" s="191" t="str">
        <ns0:v>09:59</ns0:v>
      </ns0:c>
      <ns0:c r="F164" s="191" t="str">
        <ns0:v>20:27</ns0:v>
      </ns0:c>
      <ns0:c r="G164" s="214" t="n">
        <ns0:v>88</ns0:v>
      </ns0:c>
      <ns0:c r="H164" s="214" t="n">
        <ns0:v>0</ns0:v>
      </ns0:c>
      <ns0:c r="I164" s="192" t="n">
        <ns0:f>G164/60*'核算总览'!$B$3/(21.75*8)*1.5</ns0:f>
        <ns0:v>307.9896181353767</ns0:v>
      </ns0:c>
      <ns0:c r="J164" s="192"/>
      <ns0:c r="K164" s="192"/>
      <ns0:c r="L164" s="192"/>
      <ns0:c r="M164" s="191" t="str"/>
      <ns0:c r="N164" s="191" t="str">
        <ns0:v>/Users/a./Desktop/飞书考勤留存_2026-10-27/逐日原始打卡截图与汇总_2026-10-27/原始截图/2026-08-12_01_日历与上部.jpg</ns0:v>
      </ns0:c>
      <ns0:c r="O164" s="191" t="str">
        <ns0:v>/Users/a./Desktop/飞书考勤留存_2026-10-27/逐日原始打卡截图与汇总_2026-10-27/原始截图/2026-08-12_02_明细下部.jpg</ns0:v>
      </ns0:c>
      <ns0:c r="P164" s="215" t="n">
        <ns0:v>9.466666666666667</ns0:v>
      </ns0:c>
      <ns0:c r="Q164" s="230" t="n">
        <ns0:f>IF(P164&gt;=11,20%,IF(P164&gt;=10,10%,IF(P164&gt;=9,5%,0)))</ns0:f>
        <ns0:v>0.05</ns0:v>
      </ns0:c>
      <ns0:c r="R164" s="201" t="n">
        <ns0:f>IF(H164&gt;0,0,IF(P164&gt;=11,3,IF(P164&gt;=10,2,IF(P164&gt;=9,1,0))))</ns0:f>
        <ns0:v>1</ns0:v>
      </ns0:c>
      <ns0:c r="S164" s="201" t="n">
        <ns0:f>Q164/5%</ns0:f>
        <ns0:v>1</ns0:v>
      </ns0:c>
    </ns0:row>
    <ns0:row r="165" ht="24" customHeight="1">
      <ns0:c r="A165" s="191" t="str">
        <ns0:v>2026-08-13</ns0:v>
      </ns0:c>
      <ns0:c r="B165" s="191" t="str">
        <ns0:v>2026-08</ns0:v>
      </ns0:c>
      <ns0:c r="C165" s="191" t="str">
        <ns0:v>四</ns0:v>
      </ns0:c>
      <ns0:c r="D165" s="191" t="str">
        <ns0:v>工作日（含法定调班日）</ns0:v>
      </ns0:c>
      <ns0:c r="E165" s="191" t="str">
        <ns0:v>09:57</ns0:v>
      </ns0:c>
      <ns0:c r="F165" s="191" t="str">
        <ns0:v>20:06</ns0:v>
      </ns0:c>
      <ns0:c r="G165" s="214" t="n">
        <ns0:v>69</ns0:v>
      </ns0:c>
      <ns0:c r="H165" s="214" t="n">
        <ns0:v>0</ns0:v>
      </ns0:c>
      <ns0:c r="I165" s="192" t="n">
        <ns0:f>G165/60*'核算总览'!$B$3/(21.75*8)*1.5</ns0:f>
        <ns0:v>241.49185967432948</ns0:v>
      </ns0:c>
      <ns0:c r="J165" s="192"/>
      <ns0:c r="K165" s="192"/>
      <ns0:c r="L165" s="192"/>
      <ns0:c r="M165" s="191" t="str"/>
      <ns0:c r="N165" s="191" t="str">
        <ns0:v>/Users/a./Desktop/飞书考勤留存_2026-10-27/逐日原始打卡截图与汇总_2026-10-27/原始截图/2026-08-13_01_日历与上部.jpg</ns0:v>
      </ns0:c>
      <ns0:c r="O165" s="191" t="str">
        <ns0:v>/Users/a./Desktop/飞书考勤留存_2026-10-27/逐日原始打卡截图与汇总_2026-10-27/原始截图/2026-08-13_02_明细下部.jpg</ns0:v>
      </ns0:c>
      <ns0:c r="P165" s="215" t="n">
        <ns0:v>9.15</ns0:v>
      </ns0:c>
      <ns0:c r="Q165" s="230" t="n">
        <ns0:f>IF(P165&gt;=11,20%,IF(P165&gt;=10,10%,IF(P165&gt;=9,5%,0)))</ns0:f>
        <ns0:v>0.05</ns0:v>
      </ns0:c>
      <ns0:c r="R165" s="201" t="n">
        <ns0:f>IF(H165&gt;0,0,IF(P165&gt;=11,3,IF(P165&gt;=10,2,IF(P165&gt;=9,1,0))))</ns0:f>
        <ns0:v>1</ns0:v>
      </ns0:c>
      <ns0:c r="S165" s="201" t="n">
        <ns0:f>Q165/5%</ns0:f>
        <ns0:v>1</ns0:v>
      </ns0:c>
    </ns0:row>
    <ns0:row r="166" ht="24" customHeight="1">
      <ns0:c r="A166" s="191" t="str">
        <ns0:v>2026-08-14</ns0:v>
      </ns0:c>
      <ns0:c r="B166" s="191" t="str">
        <ns0:v>2026-08</ns0:v>
      </ns0:c>
      <ns0:c r="C166" s="191" t="str">
        <ns0:v>五</ns0:v>
      </ns0:c>
      <ns0:c r="D166" s="191" t="str">
        <ns0:v>工作日（含法定调班日）</ns0:v>
      </ns0:c>
      <ns0:c r="E166" s="191" t="str">
        <ns0:v>09:30</ns0:v>
      </ns0:c>
      <ns0:c r="F166" s="191" t="str">
        <ns0:v>19:01</ns0:v>
      </ns0:c>
      <ns0:c r="G166" s="214" t="n">
        <ns0:v>31</ns0:v>
      </ns0:c>
      <ns0:c r="H166" s="214" t="n">
        <ns0:v>0</ns0:v>
      </ns0:c>
      <ns0:c r="I166" s="192" t="n">
        <ns0:f>G166/60*'核算总览'!$B$3/(21.75*8)*1.5</ns0:f>
        <ns0:v>108.49634275223501</ns0:v>
      </ns0:c>
      <ns0:c r="J166" s="192"/>
      <ns0:c r="K166" s="192"/>
      <ns0:c r="L166" s="192"/>
      <ns0:c r="M166" s="191" t="str"/>
      <ns0:c r="N166" s="191" t="str">
        <ns0:v>/Users/a./Desktop/飞书考勤留存_2026-10-27/逐日原始打卡截图与汇总_2026-10-27/原始截图/2026-08-14_01_日历与上部.jpg</ns0:v>
      </ns0:c>
      <ns0:c r="O166" s="191" t="str">
        <ns0:v>/Users/a./Desktop/飞书考勤留存_2026-10-27/逐日原始打卡截图与汇总_2026-10-27/原始截图/2026-08-14_02_明细下部.jpg</ns0:v>
      </ns0:c>
      <ns0:c r="P166" s="215" t="n">
        <ns0:v>8.516666666666667</ns0:v>
      </ns0:c>
      <ns0:c r="Q166" s="230" t="n">
        <ns0:f>IF(P166&gt;=11,20%,IF(P166&gt;=10,10%,IF(P166&gt;=9,5%,0)))</ns0:f>
        <ns0:v>0</ns0:v>
      </ns0:c>
      <ns0:c r="R166" s="201" t="n">
        <ns0:f>IF(H166&gt;0,0,IF(P166&gt;=11,3,IF(P166&gt;=10,2,IF(P166&gt;=9,1,0))))</ns0:f>
        <ns0:v>0</ns0:v>
      </ns0:c>
      <ns0:c r="S166" s="201" t="n">
        <ns0:f>Q166/5%</ns0:f>
        <ns0:v>0</ns0:v>
      </ns0:c>
    </ns0:row>
    <ns0:row r="167" ht="24" customHeight="1">
      <ns0:c r="A167" s="191" t="str">
        <ns0:v>2026-08-17</ns0:v>
      </ns0:c>
      <ns0:c r="B167" s="191" t="str">
        <ns0:v>2026-08</ns0:v>
      </ns0:c>
      <ns0:c r="C167" s="191" t="str">
        <ns0:v>一</ns0:v>
      </ns0:c>
      <ns0:c r="D167" s="191" t="str">
        <ns0:v>工作日（含法定调班日）</ns0:v>
      </ns0:c>
      <ns0:c r="E167" s="191" t="str">
        <ns0:v>09:54</ns0:v>
      </ns0:c>
      <ns0:c r="F167" s="191" t="str">
        <ns0:v>19:56</ns0:v>
      </ns0:c>
      <ns0:c r="G167" s="214" t="n">
        <ns0:v>62</ns0:v>
      </ns0:c>
      <ns0:c r="H167" s="214" t="n">
        <ns0:v>0</ns0:v>
      </ns0:c>
      <ns0:c r="I167" s="192" t="n">
        <ns0:f>G167/60*'核算总览'!$B$3/(21.75*8)*1.5</ns0:f>
        <ns0:v>216.99268550447002</ns0:v>
      </ns0:c>
      <ns0:c r="J167" s="192"/>
      <ns0:c r="K167" s="192"/>
      <ns0:c r="L167" s="192"/>
      <ns0:c r="M167" s="191" t="str"/>
      <ns0:c r="N167" s="191" t="str">
        <ns0:v>/Users/a./Desktop/飞书考勤留存_2026-10-27/逐日原始打卡截图与汇总_2026-10-27/原始截图/2026-08-17_01_日历与上部.jpg</ns0:v>
      </ns0:c>
      <ns0:c r="O167" s="191" t="str">
        <ns0:v>/Users/a./Desktop/飞书考勤留存_2026-10-27/逐日原始打卡截图与汇总_2026-10-27/原始截图/2026-08-17_02_明细下部.jpg</ns0:v>
      </ns0:c>
      <ns0:c r="P167" s="215" t="n">
        <ns0:v>9.033333333333333</ns0:v>
      </ns0:c>
      <ns0:c r="Q167" s="230" t="n">
        <ns0:f>IF(P167&gt;=11,20%,IF(P167&gt;=10,10%,IF(P167&gt;=9,5%,0)))</ns0:f>
        <ns0:v>0.05</ns0:v>
      </ns0:c>
      <ns0:c r="R167" s="201" t="n">
        <ns0:f>IF(H167&gt;0,0,IF(P167&gt;=11,3,IF(P167&gt;=10,2,IF(P167&gt;=9,1,0))))</ns0:f>
        <ns0:v>1</ns0:v>
      </ns0:c>
      <ns0:c r="S167" s="201" t="n">
        <ns0:f>Q167/5%</ns0:f>
        <ns0:v>1</ns0:v>
      </ns0:c>
    </ns0:row>
    <ns0:row r="168" ht="24" customHeight="1">
      <ns0:c r="A168" s="191" t="str">
        <ns0:v>2026-08-18</ns0:v>
      </ns0:c>
      <ns0:c r="B168" s="191" t="str">
        <ns0:v>2026-08</ns0:v>
      </ns0:c>
      <ns0:c r="C168" s="191" t="str">
        <ns0:v>二</ns0:v>
      </ns0:c>
      <ns0:c r="D168" s="191" t="str">
        <ns0:v>工作日（含法定调班日）</ns0:v>
      </ns0:c>
      <ns0:c r="E168" s="191" t="str">
        <ns0:v>09:57</ns0:v>
      </ns0:c>
      <ns0:c r="F168" s="191" t="str">
        <ns0:v>19:58</ns0:v>
      </ns0:c>
      <ns0:c r="G168" s="214" t="n">
        <ns0:v>61</ns0:v>
      </ns0:c>
      <ns0:c r="H168" s="214" t="n">
        <ns0:v>0</ns0:v>
      </ns0:c>
      <ns0:c r="I168" s="192" t="n">
        <ns0:f>G168/60*'核算总览'!$B$3/(21.75*8)*1.5</ns0:f>
        <ns0:v>213.49280348020432</ns0:v>
      </ns0:c>
      <ns0:c r="J168" s="192"/>
      <ns0:c r="K168" s="192"/>
      <ns0:c r="L168" s="192"/>
      <ns0:c r="M168" s="191" t="str"/>
      <ns0:c r="N168" s="191" t="str">
        <ns0:v>/Users/a./Desktop/飞书考勤留存_2026-10-27/逐日原始打卡截图与汇总_2026-10-27/原始截图/2026-08-18_01_日历与上部.jpg</ns0:v>
      </ns0:c>
      <ns0:c r="O168" s="191" t="str">
        <ns0:v>/Users/a./Desktop/飞书考勤留存_2026-10-27/逐日原始打卡截图与汇总_2026-10-27/原始截图/2026-08-18_02_明细下部.jpg</ns0:v>
      </ns0:c>
      <ns0:c r="P168" s="215" t="n">
        <ns0:v>9.016666666666667</ns0:v>
      </ns0:c>
      <ns0:c r="Q168" s="230" t="n">
        <ns0:f>IF(P168&gt;=11,20%,IF(P168&gt;=10,10%,IF(P168&gt;=9,5%,0)))</ns0:f>
        <ns0:v>0.05</ns0:v>
      </ns0:c>
      <ns0:c r="R168" s="201" t="n">
        <ns0:f>IF(H168&gt;0,0,IF(P168&gt;=11,3,IF(P168&gt;=10,2,IF(P168&gt;=9,1,0))))</ns0:f>
        <ns0:v>1</ns0:v>
      </ns0:c>
      <ns0:c r="S168" s="201" t="n">
        <ns0:f>Q168/5%</ns0:f>
        <ns0:v>1</ns0:v>
      </ns0:c>
    </ns0:row>
    <ns0:row r="169" ht="24" customHeight="1">
      <ns0:c r="A169" s="191" t="str">
        <ns0:v>2026-08-19</ns0:v>
      </ns0:c>
      <ns0:c r="B169" s="191" t="str">
        <ns0:v>2026-08</ns0:v>
      </ns0:c>
      <ns0:c r="C169" s="191" t="str">
        <ns0:v>三</ns0:v>
      </ns0:c>
      <ns0:c r="D169" s="191" t="str">
        <ns0:v>工作日（含法定调班日）</ns0:v>
      </ns0:c>
      <ns0:c r="E169" s="191" t="str">
        <ns0:v>09:57</ns0:v>
      </ns0:c>
      <ns0:c r="F169" s="191" t="str">
        <ns0:v>19:04</ns0:v>
      </ns0:c>
      <ns0:c r="G169" s="214" t="n">
        <ns0:v>7</ns0:v>
      </ns0:c>
      <ns0:c r="H169" s="214" t="n">
        <ns0:v>0</ns0:v>
      </ns0:c>
      <ns0:c r="I169" s="192" t="n">
        <ns0:f>G169/60*'核算总览'!$B$3/(21.75*8)*1.5</ns0:f>
        <ns0:v>24.499174169859515</ns0:v>
      </ns0:c>
      <ns0:c r="J169" s="192"/>
      <ns0:c r="K169" s="192"/>
      <ns0:c r="L169" s="192"/>
      <ns0:c r="M169" s="191" t="str"/>
      <ns0:c r="N169" s="191" t="str">
        <ns0:v>/Users/a./Desktop/飞书考勤留存_2026-10-27/逐日原始打卡截图与汇总_2026-10-27/原始截图/2026-08-19_01_日历与上部.jpg</ns0:v>
      </ns0:c>
      <ns0:c r="O169" s="191" t="str">
        <ns0:v>/Users/a./Desktop/飞书考勤留存_2026-10-27/逐日原始打卡截图与汇总_2026-10-27/原始截图/2026-08-19_02_明细下部.jpg</ns0:v>
      </ns0:c>
      <ns0:c r="P169" s="215" t="n">
        <ns0:v>8.116666666666667</ns0:v>
      </ns0:c>
      <ns0:c r="Q169" s="230" t="n">
        <ns0:f>IF(P169&gt;=11,20%,IF(P169&gt;=10,10%,IF(P169&gt;=9,5%,0)))</ns0:f>
        <ns0:v>0</ns0:v>
      </ns0:c>
      <ns0:c r="R169" s="201" t="n">
        <ns0:f>IF(H169&gt;0,0,IF(P169&gt;=11,3,IF(P169&gt;=10,2,IF(P169&gt;=9,1,0))))</ns0:f>
        <ns0:v>0</ns0:v>
      </ns0:c>
      <ns0:c r="S169" s="201" t="n">
        <ns0:f>Q169/5%</ns0:f>
        <ns0:v>0</ns0:v>
      </ns0:c>
    </ns0:row>
    <ns0:row r="170" ht="24" customHeight="1">
      <ns0:c r="A170" s="191" t="str">
        <ns0:v>2026-08-20</ns0:v>
      </ns0:c>
      <ns0:c r="B170" s="191" t="str">
        <ns0:v>2026-08</ns0:v>
      </ns0:c>
      <ns0:c r="C170" s="191" t="str">
        <ns0:v>四</ns0:v>
      </ns0:c>
      <ns0:c r="D170" s="191" t="str">
        <ns0:v>工作日（含法定调班日）</ns0:v>
      </ns0:c>
      <ns0:c r="E170" s="191" t="str">
        <ns0:v>09:52</ns0:v>
      </ns0:c>
      <ns0:c r="F170" s="191" t="str">
        <ns0:v>19:52</ns0:v>
      </ns0:c>
      <ns0:c r="G170" s="214" t="n">
        <ns0:v>60</ns0:v>
      </ns0:c>
      <ns0:c r="H170" s="214" t="n">
        <ns0:v>0</ns0:v>
      </ns0:c>
      <ns0:c r="I170" s="192" t="n">
        <ns0:f>G170/60*'核算总览'!$B$3/(21.75*8)*1.5</ns0:f>
        <ns0:v>209.9929214559387</ns0:v>
      </ns0:c>
      <ns0:c r="J170" s="192"/>
      <ns0:c r="K170" s="192"/>
      <ns0:c r="L170" s="192"/>
      <ns0:c r="M170" s="191" t="str"/>
      <ns0:c r="N170" s="191" t="str">
        <ns0:v>/Users/a./Desktop/飞书考勤留存_2026-10-27/逐日原始打卡截图与汇总_2026-10-27/原始截图/2026-08-20_01_日历与上部.jpg</ns0:v>
      </ns0:c>
      <ns0:c r="O170" s="191" t="str">
        <ns0:v>/Users/a./Desktop/飞书考勤留存_2026-10-27/逐日原始打卡截图与汇总_2026-10-27/原始截图/2026-08-20_02_明细下部.jpg</ns0:v>
      </ns0:c>
      <ns0:c r="P170" s="215" t="n">
        <ns0:v>9</ns0:v>
      </ns0:c>
      <ns0:c r="Q170" s="230" t="n">
        <ns0:f>IF(P170&gt;=11,20%,IF(P170&gt;=10,10%,IF(P170&gt;=9,5%,0)))</ns0:f>
        <ns0:v>0.05</ns0:v>
      </ns0:c>
      <ns0:c r="R170" s="201" t="n">
        <ns0:f>IF(H170&gt;0,0,IF(P170&gt;=11,3,IF(P170&gt;=10,2,IF(P170&gt;=9,1,0))))</ns0:f>
        <ns0:v>1</ns0:v>
      </ns0:c>
      <ns0:c r="S170" s="201" t="n">
        <ns0:f>Q170/5%</ns0:f>
        <ns0:v>1</ns0:v>
      </ns0:c>
    </ns0:row>
    <ns0:row r="171" ht="24" customHeight="1">
      <ns0:c r="A171" s="191" t="str">
        <ns0:v>2026-08-21</ns0:v>
      </ns0:c>
      <ns0:c r="B171" s="191" t="str">
        <ns0:v>2026-08</ns0:v>
      </ns0:c>
      <ns0:c r="C171" s="191" t="str">
        <ns0:v>五</ns0:v>
      </ns0:c>
      <ns0:c r="D171" s="191" t="str">
        <ns0:v>工作日（含法定调班日）</ns0:v>
      </ns0:c>
      <ns0:c r="E171" s="191" t="str">
        <ns0:v>09:57</ns0:v>
      </ns0:c>
      <ns0:c r="F171" s="191" t="str">
        <ns0:v>19:12</ns0:v>
      </ns0:c>
      <ns0:c r="G171" s="214" t="n">
        <ns0:v>15</ns0:v>
      </ns0:c>
      <ns0:c r="H171" s="214" t="n">
        <ns0:v>0</ns0:v>
      </ns0:c>
      <ns0:c r="I171" s="192" t="n">
        <ns0:f>G171/60*'核算总览'!$B$3/(21.75*8)*1.5</ns0:f>
        <ns0:v>52.498230363984675</ns0:v>
      </ns0:c>
      <ns0:c r="J171" s="192"/>
      <ns0:c r="K171" s="192"/>
      <ns0:c r="L171" s="192"/>
      <ns0:c r="M171" s="191" t="str"/>
      <ns0:c r="N171" s="191" t="str">
        <ns0:v>/Users/a./Desktop/飞书考勤留存_2026-10-27/逐日原始打卡截图与汇总_2026-10-27/原始截图/2026-08-21_01_日历与上部.jpg</ns0:v>
      </ns0:c>
      <ns0:c r="O171" s="191" t="str">
        <ns0:v>/Users/a./Desktop/飞书考勤留存_2026-10-27/逐日原始打卡截图与汇总_2026-10-27/原始截图/2026-08-21_02_明细下部.jpg</ns0:v>
      </ns0:c>
      <ns0:c r="P171" s="215" t="n">
        <ns0:v>8.25</ns0:v>
      </ns0:c>
      <ns0:c r="Q171" s="230" t="n">
        <ns0:f>IF(P171&gt;=11,20%,IF(P171&gt;=10,10%,IF(P171&gt;=9,5%,0)))</ns0:f>
        <ns0:v>0</ns0:v>
      </ns0:c>
      <ns0:c r="R171" s="201" t="n">
        <ns0:f>IF(H171&gt;0,0,IF(P171&gt;=11,3,IF(P171&gt;=10,2,IF(P171&gt;=9,1,0))))</ns0:f>
        <ns0:v>0</ns0:v>
      </ns0:c>
      <ns0:c r="S171" s="201" t="n">
        <ns0:f>Q171/5%</ns0:f>
        <ns0:v>0</ns0:v>
      </ns0:c>
    </ns0:row>
    <ns0:row r="172" ht="24" customHeight="1">
      <ns0:c r="A172" s="191" t="str">
        <ns0:v>2026-08-24</ns0:v>
      </ns0:c>
      <ns0:c r="B172" s="191" t="str">
        <ns0:v>2026-08</ns0:v>
      </ns0:c>
      <ns0:c r="C172" s="191" t="str">
        <ns0:v>一</ns0:v>
      </ns0:c>
      <ns0:c r="D172" s="191" t="str">
        <ns0:v>工作日（含法定调班日）</ns0:v>
      </ns0:c>
      <ns0:c r="E172" s="191" t="str">
        <ns0:v>09:53</ns0:v>
      </ns0:c>
      <ns0:c r="F172" s="191" t="str">
        <ns0:v>19:54</ns0:v>
      </ns0:c>
      <ns0:c r="G172" s="214" t="n">
        <ns0:v>61</ns0:v>
      </ns0:c>
      <ns0:c r="H172" s="214" t="n">
        <ns0:v>0</ns0:v>
      </ns0:c>
      <ns0:c r="I172" s="192" t="n">
        <ns0:f>G172/60*'核算总览'!$B$3/(21.75*8)*1.5</ns0:f>
        <ns0:v>213.49280348020432</ns0:v>
      </ns0:c>
      <ns0:c r="J172" s="192"/>
      <ns0:c r="K172" s="192"/>
      <ns0:c r="L172" s="192"/>
      <ns0:c r="M172" s="191" t="str"/>
      <ns0:c r="N172" s="191" t="str">
        <ns0:v>/Users/a./Desktop/飞书考勤留存_2026-10-27/逐日原始打卡截图与汇总_2026-10-27/原始截图/2026-08-24_01_日历与上部.jpg</ns0:v>
      </ns0:c>
      <ns0:c r="O172" s="191" t="str">
        <ns0:v>/Users/a./Desktop/飞书考勤留存_2026-10-27/逐日原始打卡截图与汇总_2026-10-27/原始截图/2026-08-24_02_明细下部.jpg</ns0:v>
      </ns0:c>
      <ns0:c r="P172" s="215" t="n">
        <ns0:v>9.016666666666667</ns0:v>
      </ns0:c>
      <ns0:c r="Q172" s="230" t="n">
        <ns0:f>IF(P172&gt;=11,20%,IF(P172&gt;=10,10%,IF(P172&gt;=9,5%,0)))</ns0:f>
        <ns0:v>0.05</ns0:v>
      </ns0:c>
      <ns0:c r="R172" s="201" t="n">
        <ns0:f>IF(H172&gt;0,0,IF(P172&gt;=11,3,IF(P172&gt;=10,2,IF(P172&gt;=9,1,0))))</ns0:f>
        <ns0:v>1</ns0:v>
      </ns0:c>
      <ns0:c r="S172" s="201" t="n">
        <ns0:f>Q172/5%</ns0:f>
        <ns0:v>1</ns0:v>
      </ns0:c>
    </ns0:row>
    <ns0:row r="173" ht="24" customHeight="1">
      <ns0:c r="A173" s="191" t="str">
        <ns0:v>2026-08-25</ns0:v>
      </ns0:c>
      <ns0:c r="B173" s="191" t="str">
        <ns0:v>2026-08</ns0:v>
      </ns0:c>
      <ns0:c r="C173" s="191" t="str">
        <ns0:v>二</ns0:v>
      </ns0:c>
      <ns0:c r="D173" s="191" t="str">
        <ns0:v>工作日（含法定调班日）</ns0:v>
      </ns0:c>
      <ns0:c r="E173" s="191" t="str">
        <ns0:v>09:54</ns0:v>
      </ns0:c>
      <ns0:c r="F173" s="191" t="str">
        <ns0:v>20:06</ns0:v>
      </ns0:c>
      <ns0:c r="G173" s="214" t="n">
        <ns0:v>72</ns0:v>
      </ns0:c>
      <ns0:c r="H173" s="214" t="n">
        <ns0:v>0</ns0:v>
      </ns0:c>
      <ns0:c r="I173" s="192" t="n">
        <ns0:f>G173/60*'核算总览'!$B$3/(21.75*8)*1.5</ns0:f>
        <ns0:v>251.99150574712644</ns0:v>
      </ns0:c>
      <ns0:c r="J173" s="192"/>
      <ns0:c r="K173" s="192"/>
      <ns0:c r="L173" s="192"/>
      <ns0:c r="M173" s="191" t="str"/>
      <ns0:c r="N173" s="191" t="str">
        <ns0:v>/Users/a./Desktop/飞书考勤留存_2026-10-27/逐日原始打卡截图与汇总_2026-10-27/原始截图/2026-08-25_01_日历与上部.jpg</ns0:v>
      </ns0:c>
      <ns0:c r="O173" s="191" t="str">
        <ns0:v>/Users/a./Desktop/飞书考勤留存_2026-10-27/逐日原始打卡截图与汇总_2026-10-27/原始截图/2026-08-25_02_明细下部.jpg</ns0:v>
      </ns0:c>
      <ns0:c r="P173" s="215" t="n">
        <ns0:v>9.2</ns0:v>
      </ns0:c>
      <ns0:c r="Q173" s="230" t="n">
        <ns0:f>IF(P173&gt;=11,20%,IF(P173&gt;=10,10%,IF(P173&gt;=9,5%,0)))</ns0:f>
        <ns0:v>0.05</ns0:v>
      </ns0:c>
      <ns0:c r="R173" s="201" t="n">
        <ns0:f>IF(H173&gt;0,0,IF(P173&gt;=11,3,IF(P173&gt;=10,2,IF(P173&gt;=9,1,0))))</ns0:f>
        <ns0:v>1</ns0:v>
      </ns0:c>
      <ns0:c r="S173" s="201" t="n">
        <ns0:f>Q173/5%</ns0:f>
        <ns0:v>1</ns0:v>
      </ns0:c>
    </ns0:row>
    <ns0:row r="174" ht="24" customHeight="1">
      <ns0:c r="A174" s="191" t="str">
        <ns0:v>2026-08-26</ns0:v>
      </ns0:c>
      <ns0:c r="B174" s="191" t="str">
        <ns0:v>2026-08</ns0:v>
      </ns0:c>
      <ns0:c r="C174" s="191" t="str">
        <ns0:v>三</ns0:v>
      </ns0:c>
      <ns0:c r="D174" s="191" t="str">
        <ns0:v>工作日（含法定调班日）</ns0:v>
      </ns0:c>
      <ns0:c r="E174" s="191" t="str">
        <ns0:v>09:55</ns0:v>
      </ns0:c>
      <ns0:c r="F174" s="191" t="str">
        <ns0:v>18:56</ns0:v>
      </ns0:c>
      <ns0:c r="G174" s="214" t="n">
        <ns0:v>1</ns0:v>
      </ns0:c>
      <ns0:c r="H174" s="214" t="n">
        <ns0:v>0</ns0:v>
      </ns0:c>
      <ns0:c r="I174" s="192" t="n">
        <ns0:f>G174/60*'核算总览'!$B$3/(21.75*8)*1.5</ns0:f>
        <ns0:v>3.499882024265645</ns0:v>
      </ns0:c>
      <ns0:c r="J174" s="192"/>
      <ns0:c r="K174" s="192"/>
      <ns0:c r="L174" s="192"/>
      <ns0:c r="M174" s="191" t="str"/>
      <ns0:c r="N174" s="191" t="str">
        <ns0:v>/Users/a./Desktop/飞书考勤留存_2026-10-27/逐日原始打卡截图与汇总_2026-10-27/原始截图/2026-08-26_01_日历与上部.jpg</ns0:v>
      </ns0:c>
      <ns0:c r="O174" s="191" t="str">
        <ns0:v>/Users/a./Desktop/飞书考勤留存_2026-10-27/逐日原始打卡截图与汇总_2026-10-27/原始截图/2026-08-26_02_明细下部.jpg</ns0:v>
      </ns0:c>
      <ns0:c r="P174" s="215" t="n">
        <ns0:v>8.016666666666667</ns0:v>
      </ns0:c>
      <ns0:c r="Q174" s="230" t="n">
        <ns0:f>IF(P174&gt;=11,20%,IF(P174&gt;=10,10%,IF(P174&gt;=9,5%,0)))</ns0:f>
        <ns0:v>0</ns0:v>
      </ns0:c>
      <ns0:c r="R174" s="201" t="n">
        <ns0:f>IF(H174&gt;0,0,IF(P174&gt;=11,3,IF(P174&gt;=10,2,IF(P174&gt;=9,1,0))))</ns0:f>
        <ns0:v>0</ns0:v>
      </ns0:c>
      <ns0:c r="S174" s="201" t="n">
        <ns0:f>Q174/5%</ns0:f>
        <ns0:v>0</ns0:v>
      </ns0:c>
    </ns0:row>
    <ns0:row r="175" ht="24" customHeight="1">
      <ns0:c r="A175" s="191" t="str">
        <ns0:v>2026-08-27</ns0:v>
      </ns0:c>
      <ns0:c r="B175" s="191" t="str">
        <ns0:v>2026-08</ns0:v>
      </ns0:c>
      <ns0:c r="C175" s="191" t="str">
        <ns0:v>四</ns0:v>
      </ns0:c>
      <ns0:c r="D175" s="191" t="str">
        <ns0:v>工作日（含法定调班日）</ns0:v>
      </ns0:c>
      <ns0:c r="E175" s="191" t="str">
        <ns0:v>09:57</ns0:v>
      </ns0:c>
      <ns0:c r="F175" s="191" t="str">
        <ns0:v>18:57</ns0:v>
      </ns0:c>
      <ns0:c r="G175" s="214" t="n">
        <ns0:v>0</ns0:v>
      </ns0:c>
      <ns0:c r="H175" s="214" t="n">
        <ns0:v>0</ns0:v>
      </ns0:c>
      <ns0:c r="I175" s="192" t="n">
        <ns0:f>G175/60*'核算总览'!$B$3/(21.75*8)*1.5</ns0:f>
        <ns0:v>0</ns0:v>
      </ns0:c>
      <ns0:c r="J175" s="192"/>
      <ns0:c r="K175" s="192"/>
      <ns0:c r="L175" s="192"/>
      <ns0:c r="M175" s="191" t="str"/>
      <ns0:c r="N175" s="191" t="str">
        <ns0:v>/Users/a./Desktop/飞书考勤留存_2026-10-27/逐日原始打卡截图与汇总_2026-10-27/原始截图/2026-08-27_01_日历与上部.jpg</ns0:v>
      </ns0:c>
      <ns0:c r="O175" s="191" t="str">
        <ns0:v>/Users/a./Desktop/飞书考勤留存_2026-10-27/逐日原始打卡截图与汇总_2026-10-27/原始截图/2026-08-27_02_明细下部.jpg</ns0:v>
      </ns0:c>
      <ns0:c r="P175" s="215" t="n">
        <ns0:v>8</ns0:v>
      </ns0:c>
      <ns0:c r="Q175" s="230" t="n">
        <ns0:f>IF(P175&gt;=11,20%,IF(P175&gt;=10,10%,IF(P175&gt;=9,5%,0)))</ns0:f>
        <ns0:v>0</ns0:v>
      </ns0:c>
      <ns0:c r="R175" s="201" t="n">
        <ns0:f>IF(H175&gt;0,0,IF(P175&gt;=11,3,IF(P175&gt;=10,2,IF(P175&gt;=9,1,0))))</ns0:f>
        <ns0:v>0</ns0:v>
      </ns0:c>
      <ns0:c r="S175" s="201" t="n">
        <ns0:f>Q175/5%</ns0:f>
        <ns0:v>0</ns0:v>
      </ns0:c>
    </ns0:row>
    <ns0:row r="176" ht="24" customHeight="1">
      <ns0:c r="A176" s="191" t="str">
        <ns0:v>2026-08-31</ns0:v>
      </ns0:c>
      <ns0:c r="B176" s="191" t="str">
        <ns0:v>2026-08</ns0:v>
      </ns0:c>
      <ns0:c r="C176" s="191" t="str">
        <ns0:v>一</ns0:v>
      </ns0:c>
      <ns0:c r="D176" s="191" t="str">
        <ns0:v>工作日（含法定调班日）</ns0:v>
      </ns0:c>
      <ns0:c r="E176" s="191" t="str">
        <ns0:v>09:56</ns0:v>
      </ns0:c>
      <ns0:c r="F176" s="191" t="str">
        <ns0:v>18:57</ns0:v>
      </ns0:c>
      <ns0:c r="G176" s="214" t="n">
        <ns0:v>1</ns0:v>
      </ns0:c>
      <ns0:c r="H176" s="214" t="n">
        <ns0:v>0</ns0:v>
      </ns0:c>
      <ns0:c r="I176" s="192" t="n">
        <ns0:f>G176/60*'核算总览'!$B$3/(21.75*8)*1.5</ns0:f>
        <ns0:v>3.499882024265645</ns0:v>
      </ns0:c>
      <ns0:c r="J176" s="192"/>
      <ns0:c r="K176" s="192"/>
      <ns0:c r="L176" s="192"/>
      <ns0:c r="M176" s="191" t="str"/>
      <ns0:c r="N176" s="191" t="str">
        <ns0:v>/Users/a./Desktop/飞书考勤留存_2026-10-27/逐日原始打卡截图与汇总_2026-10-27/原始截图/2026-08-31_01_日历与上部.jpg</ns0:v>
      </ns0:c>
      <ns0:c r="O176" s="191" t="str">
        <ns0:v>/Users/a./Desktop/飞书考勤留存_2026-10-27/逐日原始打卡截图与汇总_2026-10-27/原始截图/2026-08-31_02_明细下部.jpg</ns0:v>
      </ns0:c>
      <ns0:c r="P176" s="215" t="n">
        <ns0:v>8.016666666666667</ns0:v>
      </ns0:c>
      <ns0:c r="Q176" s="230" t="n">
        <ns0:f>IF(P176&gt;=11,20%,IF(P176&gt;=10,10%,IF(P176&gt;=9,5%,0)))</ns0:f>
        <ns0:v>0</ns0:v>
      </ns0:c>
      <ns0:c r="R176" s="201" t="n">
        <ns0:f>IF(H176&gt;0,0,IF(P176&gt;=11,3,IF(P176&gt;=10,2,IF(P176&gt;=9,1,0))))</ns0:f>
        <ns0:v>0</ns0:v>
      </ns0:c>
      <ns0:c r="S176" s="201" t="n">
        <ns0:f>Q176/5%</ns0:f>
        <ns0:v>0</ns0:v>
      </ns0:c>
    </ns0:row>
    <ns0:row r="177" ht="24" customHeight="1">
      <ns0:c r="A177" s="191" t="str">
        <ns0:v>2026-09-02</ns0:v>
      </ns0:c>
      <ns0:c r="B177" s="191" t="str">
        <ns0:v>2026-09</ns0:v>
      </ns0:c>
      <ns0:c r="C177" s="191" t="str">
        <ns0:v>三</ns0:v>
      </ns0:c>
      <ns0:c r="D177" s="191" t="str">
        <ns0:v>工作日（含法定调班日）</ns0:v>
      </ns0:c>
      <ns0:c r="E177" s="191" t="str">
        <ns0:v>09:53</ns0:v>
      </ns0:c>
      <ns0:c r="F177" s="191" t="str">
        <ns0:v>19:17</ns0:v>
      </ns0:c>
      <ns0:c r="G177" s="214" t="n">
        <ns0:v>24</ns0:v>
      </ns0:c>
      <ns0:c r="H177" s="214" t="n">
        <ns0:v>0</ns0:v>
      </ns0:c>
      <ns0:c r="I177" s="192" t="n">
        <ns0:f>G177/60*'核算总览'!$B$3/(21.75*8)*1.5</ns0:f>
        <ns0:v>83.99716858237547</ns0:v>
      </ns0:c>
      <ns0:c r="J177" s="192"/>
      <ns0:c r="K177" s="192"/>
      <ns0:c r="L177" s="192"/>
      <ns0:c r="M177" s="191" t="str"/>
      <ns0:c r="N177" s="191" t="str">
        <ns0:v>/Users/a./Desktop/飞书考勤留存_2026-10-27/逐日原始打卡截图与汇总_2026-10-27/原始截图/2026-09-02_01_日历与上部.jpg</ns0:v>
      </ns0:c>
      <ns0:c r="O177" s="191" t="str">
        <ns0:v>/Users/a./Desktop/飞书考勤留存_2026-10-27/逐日原始打卡截图与汇总_2026-10-27/原始截图/2026-09-02_02_明细下部.jpg</ns0:v>
      </ns0:c>
      <ns0:c r="P177" s="215"/>
      <ns0:c r="Q177" s="230"/>
      <ns0:c r="R177" s="201"/>
      <ns0:c r="S177" s="201"/>
    </ns0:row>
    <ns0:row r="178" ht="24" customHeight="1">
      <ns0:c r="A178" s="191" t="str">
        <ns0:v>2026-09-03</ns0:v>
      </ns0:c>
      <ns0:c r="B178" s="191" t="str">
        <ns0:v>2026-09</ns0:v>
      </ns0:c>
      <ns0:c r="C178" s="191" t="str">
        <ns0:v>四</ns0:v>
      </ns0:c>
      <ns0:c r="D178" s="191" t="str">
        <ns0:v>工作日（含法定调班日）</ns0:v>
      </ns0:c>
      <ns0:c r="E178" s="191" t="str">
        <ns0:v>09:57</ns0:v>
      </ns0:c>
      <ns0:c r="F178" s="191" t="str">
        <ns0:v>19:07</ns0:v>
      </ns0:c>
      <ns0:c r="G178" s="214" t="n">
        <ns0:v>10</ns0:v>
      </ns0:c>
      <ns0:c r="H178" s="214" t="n">
        <ns0:v>0</ns0:v>
      </ns0:c>
      <ns0:c r="I178" s="192" t="n">
        <ns0:f>G178/60*'核算总览'!$B$3/(21.75*8)*1.5</ns0:f>
        <ns0:v>34.99882024265645</ns0:v>
      </ns0:c>
      <ns0:c r="J178" s="192"/>
      <ns0:c r="K178" s="192"/>
      <ns0:c r="L178" s="192"/>
      <ns0:c r="M178" s="191" t="str"/>
      <ns0:c r="N178" s="191" t="str">
        <ns0:v>/Users/a./Desktop/飞书考勤留存_2026-10-27/逐日原始打卡截图与汇总_2026-10-27/原始截图/2026-09-03_01_日历与上部.jpg</ns0:v>
      </ns0:c>
      <ns0:c r="O178" s="191" t="str">
        <ns0:v>/Users/a./Desktop/飞书考勤留存_2026-10-27/逐日原始打卡截图与汇总_2026-10-27/原始截图/2026-09-03_02_明细下部.jpg</ns0:v>
      </ns0:c>
      <ns0:c r="P178" s="215"/>
      <ns0:c r="Q178" s="230"/>
      <ns0:c r="R178" s="201"/>
      <ns0:c r="S178" s="201"/>
    </ns0:row>
    <ns0:row r="179" ht="24" customHeight="1">
      <ns0:c r="A179" s="191" t="str">
        <ns0:v>2026-09-04</ns0:v>
      </ns0:c>
      <ns0:c r="B179" s="191" t="str">
        <ns0:v>2026-09</ns0:v>
      </ns0:c>
      <ns0:c r="C179" s="191" t="str">
        <ns0:v>五</ns0:v>
      </ns0:c>
      <ns0:c r="D179" s="191" t="str">
        <ns0:v>工作日（含法定调班日）</ns0:v>
      </ns0:c>
      <ns0:c r="E179" s="191" t="str">
        <ns0:v>09:57</ns0:v>
      </ns0:c>
      <ns0:c r="F179" s="191" t="str">
        <ns0:v>19:00</ns0:v>
      </ns0:c>
      <ns0:c r="G179" s="214" t="n">
        <ns0:v>3</ns0:v>
      </ns0:c>
      <ns0:c r="H179" s="214" t="n">
        <ns0:v>0</ns0:v>
      </ns0:c>
      <ns0:c r="I179" s="192" t="n">
        <ns0:f>G179/60*'核算总览'!$B$3/(21.75*8)*1.5</ns0:f>
        <ns0:v>10.499646072796933</ns0:v>
      </ns0:c>
      <ns0:c r="J179" s="192"/>
      <ns0:c r="K179" s="192"/>
      <ns0:c r="L179" s="192"/>
      <ns0:c r="M179" s="191" t="str"/>
      <ns0:c r="N179" s="191" t="str">
        <ns0:v>/Users/a./Desktop/飞书考勤留存_2026-10-27/逐日原始打卡截图与汇总_2026-10-27/原始截图/2026-09-04_01_日历与上部.jpg</ns0:v>
      </ns0:c>
      <ns0:c r="O179" s="191" t="str">
        <ns0:v>/Users/a./Desktop/飞书考勤留存_2026-10-27/逐日原始打卡截图与汇总_2026-10-27/原始截图/2026-09-04_02_明细下部.jpg</ns0:v>
      </ns0:c>
      <ns0:c r="P179" s="215"/>
      <ns0:c r="Q179" s="230"/>
      <ns0:c r="R179" s="201"/>
      <ns0:c r="S179" s="201"/>
    </ns0:row>
    <ns0:row r="180" ht="24" customHeight="1">
      <ns0:c r="A180" s="191" t="str">
        <ns0:v>2026-09-06</ns0:v>
      </ns0:c>
      <ns0:c r="B180" s="191" t="str">
        <ns0:v>2026-09</ns0:v>
      </ns0:c>
      <ns0:c r="C180" s="191" t="str">
        <ns0:v>日</ns0:v>
      </ns0:c>
      <ns0:c r="D180" s="191" t="str">
        <ns0:v>休息日或假期</ns0:v>
      </ns0:c>
      <ns0:c r="E180" s="191" t="str">
        <ns0:v>09:56</ns0:v>
      </ns0:c>
      <ns0:c r="F180" s="191" t="str">
        <ns0:v>19:00</ns0:v>
      </ns0:c>
      <ns0:c r="G180" s="214" t="n">
        <ns0:v>0</ns0:v>
      </ns0:c>
      <ns0:c r="H180" s="214" t="n">
        <ns0:v>484</ns0:v>
      </ns0:c>
      <ns0:c r="I180" s="192" t="n">
        <ns0:f>G180/60*'核算总览'!$B$3/(21.75*8)*1.5</ns0:f>
        <ns0:v>0</ns0:v>
      </ns0:c>
      <ns0:c r="J180" s="192"/>
      <ns0:c r="K180" s="192"/>
      <ns0:c r="L180" s="192"/>
      <ns0:c r="M180" s="191" t="str"/>
      <ns0:c r="N180" s="191" t="str">
        <ns0:v>/Users/a./Desktop/飞书考勤留存_2026-10-27/逐日原始打卡截图与汇总_2026-10-27/原始截图/2026-09-06_01_日历与上部.jpg</ns0:v>
      </ns0:c>
      <ns0:c r="O180" s="191" t="str">
        <ns0:v>/Users/a./Desktop/飞书考勤留存_2026-10-27/逐日原始打卡截图与汇总_2026-10-27/原始截图/2026-09-06_02_明细下部.jpg</ns0:v>
      </ns0:c>
      <ns0:c r="P180" s="215"/>
      <ns0:c r="Q180" s="230"/>
      <ns0:c r="R180" s="201"/>
      <ns0:c r="S180" s="201"/>
    </ns0:row>
    <ns0:row r="181" ht="24" customHeight="1">
      <ns0:c r="A181" s="191" t="str">
        <ns0:v>2026-09-07</ns0:v>
      </ns0:c>
      <ns0:c r="B181" s="191" t="str">
        <ns0:v>2026-09</ns0:v>
      </ns0:c>
      <ns0:c r="C181" s="191" t="str">
        <ns0:v>一</ns0:v>
      </ns0:c>
      <ns0:c r="D181" s="191" t="str">
        <ns0:v>工作日（含法定调班日）</ns0:v>
      </ns0:c>
      <ns0:c r="E181" s="191" t="str">
        <ns0:v>09:58</ns0:v>
      </ns0:c>
      <ns0:c r="F181" s="191" t="str">
        <ns0:v>19:00</ns0:v>
      </ns0:c>
      <ns0:c r="G181" s="214" t="n">
        <ns0:v>2</ns0:v>
      </ns0:c>
      <ns0:c r="H181" s="214" t="n">
        <ns0:v>0</ns0:v>
      </ns0:c>
      <ns0:c r="I181" s="192" t="n">
        <ns0:f>G181/60*'核算总览'!$B$3/(21.75*8)*1.5</ns0:f>
        <ns0:v>6.99976404853129</ns0:v>
      </ns0:c>
      <ns0:c r="J181" s="192"/>
      <ns0:c r="K181" s="192"/>
      <ns0:c r="L181" s="192"/>
      <ns0:c r="M181" s="191" t="str"/>
      <ns0:c r="N181" s="191" t="str">
        <ns0:v>/Users/a./Desktop/飞书考勤留存_2026-10-27/逐日原始打卡截图与汇总_2026-10-27/原始截图/2026-09-07_01_日历与上部.jpg</ns0:v>
      </ns0:c>
      <ns0:c r="O181" s="191" t="str">
        <ns0:v>/Users/a./Desktop/飞书考勤留存_2026-10-27/逐日原始打卡截图与汇总_2026-10-27/原始截图/2026-09-07_02_明细下部.jpg</ns0:v>
      </ns0:c>
      <ns0:c r="P181" s="215"/>
      <ns0:c r="Q181" s="230"/>
      <ns0:c r="R181" s="201"/>
      <ns0:c r="S181" s="201"/>
    </ns0:row>
    <ns0:row r="182" ht="24" customHeight="1">
      <ns0:c r="A182" s="191" t="str">
        <ns0:v>2026-09-08</ns0:v>
      </ns0:c>
      <ns0:c r="B182" s="191" t="str">
        <ns0:v>2026-09</ns0:v>
      </ns0:c>
      <ns0:c r="C182" s="191" t="str">
        <ns0:v>二</ns0:v>
      </ns0:c>
      <ns0:c r="D182" s="191" t="str">
        <ns0:v>工作日（含法定调班日）</ns0:v>
      </ns0:c>
      <ns0:c r="E182" s="191" t="str">
        <ns0:v>09:54</ns0:v>
      </ns0:c>
      <ns0:c r="F182" s="191" t="str">
        <ns0:v>19:27</ns0:v>
      </ns0:c>
      <ns0:c r="G182" s="214" t="n">
        <ns0:v>33</ns0:v>
      </ns0:c>
      <ns0:c r="H182" s="214" t="n">
        <ns0:v>0</ns0:v>
      </ns0:c>
      <ns0:c r="I182" s="192" t="n">
        <ns0:f>G182/60*'核算总览'!$B$3/(21.75*8)*1.5</ns0:f>
        <ns0:v>115.49610680076628</ns0:v>
      </ns0:c>
      <ns0:c r="J182" s="192"/>
      <ns0:c r="K182" s="192"/>
      <ns0:c r="L182" s="192"/>
      <ns0:c r="M182" s="191" t="str"/>
      <ns0:c r="N182" s="191" t="str">
        <ns0:v>/Users/a./Desktop/飞书考勤留存_2026-10-27/逐日原始打卡截图与汇总_2026-10-27/原始截图/2026-09-08_01_日历与上部.jpg</ns0:v>
      </ns0:c>
      <ns0:c r="O182" s="191" t="str">
        <ns0:v>/Users/a./Desktop/飞书考勤留存_2026-10-27/逐日原始打卡截图与汇总_2026-10-27/原始截图/2026-09-08_02_明细下部.jpg</ns0:v>
      </ns0:c>
      <ns0:c r="P182" s="215"/>
      <ns0:c r="Q182" s="230"/>
      <ns0:c r="R182" s="201"/>
      <ns0:c r="S182" s="201"/>
    </ns0:row>
    <ns0:row r="183" ht="24" customHeight="1">
      <ns0:c r="A183" s="191" t="str">
        <ns0:v>2026-09-09</ns0:v>
      </ns0:c>
      <ns0:c r="B183" s="191" t="str">
        <ns0:v>2026-09</ns0:v>
      </ns0:c>
      <ns0:c r="C183" s="191" t="str">
        <ns0:v>三</ns0:v>
      </ns0:c>
      <ns0:c r="D183" s="191" t="str">
        <ns0:v>工作日（含法定调班日）</ns0:v>
      </ns0:c>
      <ns0:c r="E183" s="191" t="str">
        <ns0:v>09:56</ns0:v>
      </ns0:c>
      <ns0:c r="F183" s="191" t="str">
        <ns0:v>19:10</ns0:v>
      </ns0:c>
      <ns0:c r="G183" s="214" t="n">
        <ns0:v>14</ns0:v>
      </ns0:c>
      <ns0:c r="H183" s="214" t="n">
        <ns0:v>0</ns0:v>
      </ns0:c>
      <ns0:c r="I183" s="192" t="n">
        <ns0:f>G183/60*'核算总览'!$B$3/(21.75*8)*1.5</ns0:f>
        <ns0:v>48.99834833971903</ns0:v>
      </ns0:c>
      <ns0:c r="J183" s="192"/>
      <ns0:c r="K183" s="192"/>
      <ns0:c r="L183" s="192"/>
      <ns0:c r="M183" s="191" t="str"/>
      <ns0:c r="N183" s="191" t="str">
        <ns0:v>/Users/a./Desktop/飞书考勤留存_2026-10-27/逐日原始打卡截图与汇总_2026-10-27/原始截图/2026-09-09_01_日历与上部.jpg</ns0:v>
      </ns0:c>
      <ns0:c r="O183" s="191" t="str">
        <ns0:v>/Users/a./Desktop/飞书考勤留存_2026-10-27/逐日原始打卡截图与汇总_2026-10-27/原始截图/2026-09-09_02_明细下部.jpg</ns0:v>
      </ns0:c>
      <ns0:c r="P183" s="215"/>
      <ns0:c r="Q183" s="230"/>
      <ns0:c r="R183" s="201"/>
      <ns0:c r="S183" s="201"/>
    </ns0:row>
    <ns0:row r="184" ht="24" customHeight="1">
      <ns0:c r="A184" s="191" t="str">
        <ns0:v>2026-09-10</ns0:v>
      </ns0:c>
      <ns0:c r="B184" s="191" t="str">
        <ns0:v>2026-09</ns0:v>
      </ns0:c>
      <ns0:c r="C184" s="191" t="str">
        <ns0:v>四</ns0:v>
      </ns0:c>
      <ns0:c r="D184" s="191" t="str">
        <ns0:v>工作日（含法定调班日）</ns0:v>
      </ns0:c>
      <ns0:c r="E184" s="191" t="str">
        <ns0:v>10:00</ns0:v>
      </ns0:c>
      <ns0:c r="F184" s="191" t="str">
        <ns0:v>19:15</ns0:v>
      </ns0:c>
      <ns0:c r="G184" s="214" t="n">
        <ns0:v>15</ns0:v>
      </ns0:c>
      <ns0:c r="H184" s="214" t="n">
        <ns0:v>0</ns0:v>
      </ns0:c>
      <ns0:c r="I184" s="192" t="n">
        <ns0:f>G184/60*'核算总览'!$B$3/(21.75*8)*1.5</ns0:f>
        <ns0:v>52.498230363984675</ns0:v>
      </ns0:c>
      <ns0:c r="J184" s="192"/>
      <ns0:c r="K184" s="192"/>
      <ns0:c r="L184" s="192"/>
      <ns0:c r="M184" s="191" t="str"/>
      <ns0:c r="N184" s="191" t="str">
        <ns0:v>/Users/a./Desktop/飞书考勤留存_2026-10-27/逐日原始打卡截图与汇总_2026-10-27/原始截图/2026-09-10_01_日历与上部.jpg</ns0:v>
      </ns0:c>
      <ns0:c r="O184" s="191" t="str">
        <ns0:v>/Users/a./Desktop/飞书考勤留存_2026-10-27/逐日原始打卡截图与汇总_2026-10-27/原始截图/2026-09-10_02_明细下部.jpg</ns0:v>
      </ns0:c>
      <ns0:c r="P184" s="215"/>
      <ns0:c r="Q184" s="230"/>
      <ns0:c r="R184" s="201"/>
      <ns0:c r="S184" s="201"/>
    </ns0:row>
    <ns0:row r="185" ht="24" customHeight="1">
      <ns0:c r="A185" s="191" t="str">
        <ns0:v>2026-09-11</ns0:v>
      </ns0:c>
      <ns0:c r="B185" s="191" t="str">
        <ns0:v>2026-09</ns0:v>
      </ns0:c>
      <ns0:c r="C185" s="191" t="str">
        <ns0:v>五</ns0:v>
      </ns0:c>
      <ns0:c r="D185" s="191" t="str">
        <ns0:v>工作日（含法定调班日）</ns0:v>
      </ns0:c>
      <ns0:c r="E185" s="191" t="str">
        <ns0:v>09:56</ns0:v>
      </ns0:c>
      <ns0:c r="F185" s="191" t="str">
        <ns0:v>18:56</ns0:v>
      </ns0:c>
      <ns0:c r="G185" s="214" t="n">
        <ns0:v>0</ns0:v>
      </ns0:c>
      <ns0:c r="H185" s="214" t="n">
        <ns0:v>0</ns0:v>
      </ns0:c>
      <ns0:c r="I185" s="192" t="n">
        <ns0:f>G185/60*'核算总览'!$B$3/(21.75*8)*1.5</ns0:f>
        <ns0:v>0</ns0:v>
      </ns0:c>
      <ns0:c r="J185" s="192"/>
      <ns0:c r="K185" s="192"/>
      <ns0:c r="L185" s="192"/>
      <ns0:c r="M185" s="191" t="str"/>
      <ns0:c r="N185" s="191" t="str">
        <ns0:v>/Users/a./Desktop/飞书考勤留存_2026-10-27/逐日原始打卡截图与汇总_2026-10-27/原始截图/2026-09-11_01_日历与上部.jpg</ns0:v>
      </ns0:c>
      <ns0:c r="O185" s="191" t="str">
        <ns0:v>/Users/a./Desktop/飞书考勤留存_2026-10-27/逐日原始打卡截图与汇总_2026-10-27/原始截图/2026-09-11_02_明细下部.jpg</ns0:v>
      </ns0:c>
      <ns0:c r="P185" s="215"/>
      <ns0:c r="Q185" s="230"/>
      <ns0:c r="R185" s="201"/>
      <ns0:c r="S185" s="201"/>
    </ns0:row>
    <ns0:row r="186" ht="24" customHeight="1">
      <ns0:c r="A186" s="191" t="str">
        <ns0:v>2026-09-14</ns0:v>
      </ns0:c>
      <ns0:c r="B186" s="191" t="str">
        <ns0:v>2026-09</ns0:v>
      </ns0:c>
      <ns0:c r="C186" s="191" t="str">
        <ns0:v>一</ns0:v>
      </ns0:c>
      <ns0:c r="D186" s="191" t="str">
        <ns0:v>工作日（含法定调班日）</ns0:v>
      </ns0:c>
      <ns0:c r="E186" s="191" t="str">
        <ns0:v>09:56</ns0:v>
      </ns0:c>
      <ns0:c r="F186" s="191" t="str">
        <ns0:v>19:03</ns0:v>
      </ns0:c>
      <ns0:c r="G186" s="214" t="n">
        <ns0:v>7</ns0:v>
      </ns0:c>
      <ns0:c r="H186" s="214" t="n">
        <ns0:v>0</ns0:v>
      </ns0:c>
      <ns0:c r="I186" s="192" t="n">
        <ns0:f>G186/60*'核算总览'!$B$3/(21.75*8)*1.5</ns0:f>
        <ns0:v>24.499174169859515</ns0:v>
      </ns0:c>
      <ns0:c r="J186" s="192"/>
      <ns0:c r="K186" s="192"/>
      <ns0:c r="L186" s="192"/>
      <ns0:c r="M186" s="191" t="str"/>
      <ns0:c r="N186" s="191" t="str">
        <ns0:v>/Users/a./Desktop/飞书考勤留存_2026-10-27/逐日原始打卡截图与汇总_2026-10-27/原始截图/2026-09-14_01_日历与上部.jpg</ns0:v>
      </ns0:c>
      <ns0:c r="O186" s="191" t="str">
        <ns0:v>/Users/a./Desktop/飞书考勤留存_2026-10-27/逐日原始打卡截图与汇总_2026-10-27/原始截图/2026-09-14_02_明细下部.jpg</ns0:v>
      </ns0:c>
      <ns0:c r="P186" s="215"/>
      <ns0:c r="Q186" s="230"/>
      <ns0:c r="R186" s="201"/>
      <ns0:c r="S186" s="201"/>
    </ns0:row>
    <ns0:row r="187" ht="24" customHeight="1">
      <ns0:c r="A187" s="191" t="str">
        <ns0:v>2026-09-15</ns0:v>
      </ns0:c>
      <ns0:c r="B187" s="191" t="str">
        <ns0:v>2026-09</ns0:v>
      </ns0:c>
      <ns0:c r="C187" s="191" t="str">
        <ns0:v>二</ns0:v>
      </ns0:c>
      <ns0:c r="D187" s="191" t="str">
        <ns0:v>工作日（含法定调班日）</ns0:v>
      </ns0:c>
      <ns0:c r="E187" s="191" t="str">
        <ns0:v>10:00</ns0:v>
      </ns0:c>
      <ns0:c r="F187" s="191" t="str">
        <ns0:v>19:01</ns0:v>
      </ns0:c>
      <ns0:c r="G187" s="214" t="n">
        <ns0:v>1</ns0:v>
      </ns0:c>
      <ns0:c r="H187" s="214" t="n">
        <ns0:v>0</ns0:v>
      </ns0:c>
      <ns0:c r="I187" s="192" t="n">
        <ns0:f>G187/60*'核算总览'!$B$3/(21.75*8)*1.5</ns0:f>
        <ns0:v>3.499882024265645</ns0:v>
      </ns0:c>
      <ns0:c r="J187" s="192"/>
      <ns0:c r="K187" s="192"/>
      <ns0:c r="L187" s="192"/>
      <ns0:c r="M187" s="191" t="str"/>
      <ns0:c r="N187" s="191" t="str">
        <ns0:v>/Users/a./Desktop/飞书考勤留存_2026-10-27/逐日原始打卡截图与汇总_2026-10-27/原始截图/2026-09-15_01_日历与上部.jpg</ns0:v>
      </ns0:c>
      <ns0:c r="O187" s="191" t="str">
        <ns0:v>/Users/a./Desktop/飞书考勤留存_2026-10-27/逐日原始打卡截图与汇总_2026-10-27/原始截图/2026-09-15_02_明细下部.jpg</ns0:v>
      </ns0:c>
      <ns0:c r="P187" s="215"/>
      <ns0:c r="Q187" s="230"/>
      <ns0:c r="R187" s="201"/>
      <ns0:c r="S187" s="201"/>
    </ns0:row>
    <ns0:row r="188" ht="24" customHeight="1">
      <ns0:c r="A188" s="191" t="str">
        <ns0:v>2026-09-16</ns0:v>
      </ns0:c>
      <ns0:c r="B188" s="191" t="str">
        <ns0:v>2026-09</ns0:v>
      </ns0:c>
      <ns0:c r="C188" s="191" t="str">
        <ns0:v>三</ns0:v>
      </ns0:c>
      <ns0:c r="D188" s="191" t="str">
        <ns0:v>工作日（含法定调班日）</ns0:v>
      </ns0:c>
      <ns0:c r="E188" s="191" t="str">
        <ns0:v>09:58</ns0:v>
      </ns0:c>
      <ns0:c r="F188" s="191" t="str">
        <ns0:v>19:07</ns0:v>
      </ns0:c>
      <ns0:c r="G188" s="214" t="n">
        <ns0:v>9</ns0:v>
      </ns0:c>
      <ns0:c r="H188" s="214" t="n">
        <ns0:v>0</ns0:v>
      </ns0:c>
      <ns0:c r="I188" s="192" t="n">
        <ns0:f>G188/60*'核算总览'!$B$3/(21.75*8)*1.5</ns0:f>
        <ns0:v>31.498938218390805</ns0:v>
      </ns0:c>
      <ns0:c r="J188" s="192"/>
      <ns0:c r="K188" s="192"/>
      <ns0:c r="L188" s="192"/>
      <ns0:c r="M188" s="191" t="str"/>
      <ns0:c r="N188" s="191" t="str">
        <ns0:v>/Users/a./Desktop/飞书考勤留存_2026-10-27/逐日原始打卡截图与汇总_2026-10-27/原始截图/2026-09-16_01_日历与上部.jpg</ns0:v>
      </ns0:c>
      <ns0:c r="O188" s="191" t="str">
        <ns0:v>/Users/a./Desktop/飞书考勤留存_2026-10-27/逐日原始打卡截图与汇总_2026-10-27/原始截图/2026-09-16_02_明细下部.jpg</ns0:v>
      </ns0:c>
      <ns0:c r="P188" s="215"/>
      <ns0:c r="Q188" s="230"/>
      <ns0:c r="R188" s="201"/>
      <ns0:c r="S188" s="201"/>
    </ns0:row>
    <ns0:row r="189" ht="24" customHeight="1">
      <ns0:c r="A189" s="191" t="str">
        <ns0:v>2026-09-17</ns0:v>
      </ns0:c>
      <ns0:c r="B189" s="191" t="str">
        <ns0:v>2026-09</ns0:v>
      </ns0:c>
      <ns0:c r="C189" s="191" t="str">
        <ns0:v>四</ns0:v>
      </ns0:c>
      <ns0:c r="D189" s="191" t="str">
        <ns0:v>工作日（含法定调班日）</ns0:v>
      </ns0:c>
      <ns0:c r="E189" s="191" t="str">
        <ns0:v>10:00</ns0:v>
      </ns0:c>
      <ns0:c r="F189" s="191" t="str">
        <ns0:v>19:05</ns0:v>
      </ns0:c>
      <ns0:c r="G189" s="214" t="n">
        <ns0:v>5</ns0:v>
      </ns0:c>
      <ns0:c r="H189" s="214" t="n">
        <ns0:v>0</ns0:v>
      </ns0:c>
      <ns0:c r="I189" s="192" t="n">
        <ns0:f>G189/60*'核算总览'!$B$3/(21.75*8)*1.5</ns0:f>
        <ns0:v>17.499410121328225</ns0:v>
      </ns0:c>
      <ns0:c r="J189" s="192"/>
      <ns0:c r="K189" s="192"/>
      <ns0:c r="L189" s="192"/>
      <ns0:c r="M189" s="191" t="str"/>
      <ns0:c r="N189" s="191" t="str">
        <ns0:v>/Users/a./Desktop/飞书考勤留存_2026-10-27/逐日原始打卡截图与汇总_2026-10-27/原始截图/2026-09-17_01_日历与上部.jpg</ns0:v>
      </ns0:c>
      <ns0:c r="O189" s="191" t="str">
        <ns0:v>/Users/a./Desktop/飞书考勤留存_2026-10-27/逐日原始打卡截图与汇总_2026-10-27/原始截图/2026-09-17_02_明细下部.jpg</ns0:v>
      </ns0:c>
      <ns0:c r="P189" s="215"/>
      <ns0:c r="Q189" s="230"/>
      <ns0:c r="R189" s="201"/>
      <ns0:c r="S189" s="201"/>
    </ns0:row>
    <ns0:row r="190" ht="24" customHeight="1">
      <ns0:c r="A190" s="191" t="str">
        <ns0:v>2026-09-18</ns0:v>
      </ns0:c>
      <ns0:c r="B190" s="191" t="str">
        <ns0:v>2026-09</ns0:v>
      </ns0:c>
      <ns0:c r="C190" s="191" t="str">
        <ns0:v>五</ns0:v>
      </ns0:c>
      <ns0:c r="D190" s="191" t="str">
        <ns0:v>工作日（含法定调班日）</ns0:v>
      </ns0:c>
      <ns0:c r="E190" s="191" t="str">
        <ns0:v>09:58</ns0:v>
      </ns0:c>
      <ns0:c r="F190" s="191" t="str">
        <ns0:v>19:00</ns0:v>
      </ns0:c>
      <ns0:c r="G190" s="214" t="n">
        <ns0:v>2</ns0:v>
      </ns0:c>
      <ns0:c r="H190" s="214" t="n">
        <ns0:v>0</ns0:v>
      </ns0:c>
      <ns0:c r="I190" s="192" t="n">
        <ns0:f>G190/60*'核算总览'!$B$3/(21.75*8)*1.5</ns0:f>
        <ns0:v>6.99976404853129</ns0:v>
      </ns0:c>
      <ns0:c r="J190" s="192"/>
      <ns0:c r="K190" s="192"/>
      <ns0:c r="L190" s="192"/>
      <ns0:c r="M190" s="191" t="str"/>
      <ns0:c r="N190" s="191" t="str">
        <ns0:v>/Users/a./Desktop/飞书考勤留存_2026-10-27/逐日原始打卡截图与汇总_2026-10-27/原始截图/2026-09-18_01_日历与上部.jpg</ns0:v>
      </ns0:c>
      <ns0:c r="O190" s="191" t="str">
        <ns0:v>/Users/a./Desktop/飞书考勤留存_2026-10-27/逐日原始打卡截图与汇总_2026-10-27/原始截图/2026-09-18_02_明细下部.jpg</ns0:v>
      </ns0:c>
      <ns0:c r="P190" s="215"/>
      <ns0:c r="Q190" s="230"/>
      <ns0:c r="R190" s="201"/>
      <ns0:c r="S190" s="201"/>
    </ns0:row>
    <ns0:row r="191" ht="24" customHeight="1">
      <ns0:c r="A191" s="191" t="str">
        <ns0:v>2026-09-20</ns0:v>
      </ns0:c>
      <ns0:c r="B191" s="191" t="str">
        <ns0:v>2026-09</ns0:v>
      </ns0:c>
      <ns0:c r="C191" s="191" t="str">
        <ns0:v>日</ns0:v>
      </ns0:c>
      <ns0:c r="D191" s="191" t="str">
        <ns0:v>工作日（含法定调班日）</ns0:v>
      </ns0:c>
      <ns0:c r="E191" s="191" t="str">
        <ns0:v>10:00</ns0:v>
      </ns0:c>
      <ns0:c r="F191" s="191" t="str">
        <ns0:v>19:19</ns0:v>
      </ns0:c>
      <ns0:c r="G191" s="214" t="n">
        <ns0:v>19</ns0:v>
      </ns0:c>
      <ns0:c r="H191" s="214" t="n">
        <ns0:v>0</ns0:v>
      </ns0:c>
      <ns0:c r="I191" s="192" t="n">
        <ns0:f>G191/60*'核算总览'!$B$3/(21.75*8)*1.5</ns0:f>
        <ns0:v>66.49775846104725</ns0:v>
      </ns0:c>
      <ns0:c r="J191" s="192"/>
      <ns0:c r="K191" s="192"/>
      <ns0:c r="L191" s="192"/>
      <ns0:c r="M191" s="191" t="str"/>
      <ns0:c r="N191" s="191" t="str">
        <ns0:v>/Users/a./Desktop/飞书考勤留存_2026-10-27/逐日原始打卡截图与汇总_2026-10-27/原始截图/2026-09-20_01_日历与上部.jpg</ns0:v>
      </ns0:c>
      <ns0:c r="O191" s="191" t="str">
        <ns0:v>/Users/a./Desktop/飞书考勤留存_2026-10-27/逐日原始打卡截图与汇总_2026-10-27/原始截图/2026-09-20_02_明细下部.jpg</ns0:v>
      </ns0:c>
      <ns0:c r="P191" s="215"/>
      <ns0:c r="Q191" s="230"/>
      <ns0:c r="R191" s="201"/>
      <ns0:c r="S191" s="201"/>
    </ns0:row>
    <ns0:row r="192" ht="24" customHeight="1">
      <ns0:c r="A192" s="191" t="str">
        <ns0:v>2026-09-22</ns0:v>
      </ns0:c>
      <ns0:c r="B192" s="191" t="str">
        <ns0:v>2026-09</ns0:v>
      </ns0:c>
      <ns0:c r="C192" s="191" t="str">
        <ns0:v>二</ns0:v>
      </ns0:c>
      <ns0:c r="D192" s="191" t="str">
        <ns0:v>工作日（含法定调班日）</ns0:v>
      </ns0:c>
      <ns0:c r="E192" s="191" t="str">
        <ns0:v>09:53</ns0:v>
      </ns0:c>
      <ns0:c r="F192" s="191" t="str">
        <ns0:v>19:48</ns0:v>
      </ns0:c>
      <ns0:c r="G192" s="214" t="n">
        <ns0:v>55</ns0:v>
      </ns0:c>
      <ns0:c r="H192" s="214" t="n">
        <ns0:v>0</ns0:v>
      </ns0:c>
      <ns0:c r="I192" s="192" t="n">
        <ns0:f>G192/60*'核算总览'!$B$3/(21.75*8)*1.5</ns0:f>
        <ns0:v>192.49351133461045</ns0:v>
      </ns0:c>
      <ns0:c r="J192" s="192"/>
      <ns0:c r="K192" s="192"/>
      <ns0:c r="L192" s="192"/>
      <ns0:c r="M192" s="191" t="str"/>
      <ns0:c r="N192" s="191" t="str">
        <ns0:v>/Users/a./Desktop/飞书考勤留存_2026-10-27/逐日原始打卡截图与汇总_2026-10-27/原始截图/2026-09-22_01_日历与上部.jpg</ns0:v>
      </ns0:c>
      <ns0:c r="O192" s="191" t="str">
        <ns0:v>/Users/a./Desktop/飞书考勤留存_2026-10-27/逐日原始打卡截图与汇总_2026-10-27/原始截图/2026-09-22_02_明细下部.jpg</ns0:v>
      </ns0:c>
      <ns0:c r="P192" s="215"/>
      <ns0:c r="Q192" s="230"/>
      <ns0:c r="R192" s="201"/>
      <ns0:c r="S192" s="201"/>
    </ns0:row>
    <ns0:row r="193" ht="24" customHeight="1">
      <ns0:c r="A193" s="191" t="str">
        <ns0:v>2026-09-23</ns0:v>
      </ns0:c>
      <ns0:c r="B193" s="191" t="str">
        <ns0:v>2026-09</ns0:v>
      </ns0:c>
      <ns0:c r="C193" s="191" t="str">
        <ns0:v>三</ns0:v>
      </ns0:c>
      <ns0:c r="D193" s="191" t="str">
        <ns0:v>工作日（含法定调班日）</ns0:v>
      </ns0:c>
      <ns0:c r="E193" s="191" t="str">
        <ns0:v>09:56</ns0:v>
      </ns0:c>
      <ns0:c r="F193" s="191" t="str">
        <ns0:v>18:56</ns0:v>
      </ns0:c>
      <ns0:c r="G193" s="214" t="n">
        <ns0:v>0</ns0:v>
      </ns0:c>
      <ns0:c r="H193" s="214" t="n">
        <ns0:v>0</ns0:v>
      </ns0:c>
      <ns0:c r="I193" s="192" t="n">
        <ns0:f>G193/60*'核算总览'!$B$3/(21.75*8)*1.5</ns0:f>
        <ns0:v>0</ns0:v>
      </ns0:c>
      <ns0:c r="J193" s="192"/>
      <ns0:c r="K193" s="192"/>
      <ns0:c r="L193" s="192"/>
      <ns0:c r="M193" s="191" t="str"/>
      <ns0:c r="N193" s="191" t="str">
        <ns0:v>/Users/a./Desktop/飞书考勤留存_2026-10-27/逐日原始打卡截图与汇总_2026-10-27/原始截图/2026-09-23_01_日历与上部.jpg</ns0:v>
      </ns0:c>
      <ns0:c r="O193" s="191" t="str">
        <ns0:v>/Users/a./Desktop/飞书考勤留存_2026-10-27/逐日原始打卡截图与汇总_2026-10-27/原始截图/2026-09-23_02_明细下部.jpg</ns0:v>
      </ns0:c>
      <ns0:c r="P193" s="215"/>
      <ns0:c r="Q193" s="230"/>
      <ns0:c r="R193" s="201"/>
      <ns0:c r="S193" s="201"/>
    </ns0:row>
    <ns0:row r="194" ht="24" customHeight="1">
      <ns0:c r="A194" s="191" t="str">
        <ns0:v>2026-09-24</ns0:v>
      </ns0:c>
      <ns0:c r="B194" s="191" t="str">
        <ns0:v>2026-09</ns0:v>
      </ns0:c>
      <ns0:c r="C194" s="191" t="str">
        <ns0:v>四</ns0:v>
      </ns0:c>
      <ns0:c r="D194" s="191" t="str">
        <ns0:v>工作日（含法定调班日）</ns0:v>
      </ns0:c>
      <ns0:c r="E194" s="191" t="str">
        <ns0:v>09:58</ns0:v>
      </ns0:c>
      <ns0:c r="F194" s="191" t="str">
        <ns0:v>19:30</ns0:v>
      </ns0:c>
      <ns0:c r="G194" s="214" t="n">
        <ns0:v>32</ns0:v>
      </ns0:c>
      <ns0:c r="H194" s="214" t="n">
        <ns0:v>0</ns0:v>
      </ns0:c>
      <ns0:c r="I194" s="192" t="n">
        <ns0:f>G194/60*'核算总览'!$B$3/(21.75*8)*1.5</ns0:f>
        <ns0:v>111.99622477650064</ns0:v>
      </ns0:c>
      <ns0:c r="J194" s="192"/>
      <ns0:c r="K194" s="192"/>
      <ns0:c r="L194" s="192"/>
      <ns0:c r="M194" s="191" t="str"/>
      <ns0:c r="N194" s="191" t="str">
        <ns0:v>/Users/a./Desktop/飞书考勤留存_2026-10-27/逐日原始打卡截图与汇总_2026-10-27/原始截图/2026-09-24_01_日历与上部.jpg</ns0:v>
      </ns0:c>
      <ns0:c r="O194" s="191" t="str">
        <ns0:v>/Users/a./Desktop/飞书考勤留存_2026-10-27/逐日原始打卡截图与汇总_2026-10-27/原始截图/2026-09-24_02_明细下部.jpg</ns0:v>
      </ns0:c>
      <ns0:c r="P194" s="215"/>
      <ns0:c r="Q194" s="230"/>
      <ns0:c r="R194" s="201"/>
      <ns0:c r="S194" s="201"/>
    </ns0:row>
    <ns0:row r="195" ht="24" customHeight="1">
      <ns0:c r="A195" s="191" t="str">
        <ns0:v>2026-10-08</ns0:v>
      </ns0:c>
      <ns0:c r="B195" s="191" t="str">
        <ns0:v>2026-10</ns0:v>
      </ns0:c>
      <ns0:c r="C195" s="191" t="str">
        <ns0:v>四</ns0:v>
      </ns0:c>
      <ns0:c r="D195" s="191" t="str">
        <ns0:v>工作日（含法定调班日）</ns0:v>
      </ns0:c>
      <ns0:c r="E195" s="191" t="str">
        <ns0:v>09:50</ns0:v>
      </ns0:c>
      <ns0:c r="F195" s="191" t="str">
        <ns0:v>20:35</ns0:v>
      </ns0:c>
      <ns0:c r="G195" s="214" t="n">
        <ns0:v>105</ns0:v>
      </ns0:c>
      <ns0:c r="H195" s="214" t="n">
        <ns0:v>0</ns0:v>
      </ns0:c>
      <ns0:c r="I195" s="192" t="n">
        <ns0:f>G195/60*'核算总览'!$B$3/(21.75*8)*1.5</ns0:f>
        <ns0:v>367.4876125478927</ns0:v>
      </ns0:c>
      <ns0:c r="J195" s="192"/>
      <ns0:c r="K195" s="192"/>
      <ns0:c r="L195" s="192"/>
      <ns0:c r="M195" s="191" t="str"/>
      <ns0:c r="N195" s="191" t="str">
        <ns0:v>/Users/a./Desktop/飞书考勤留存_2026-10-27/逐日原始打卡截图与汇总_2026-10-27/原始截图/2026-10-08_0057_日历与明细上部.jpg</ns0:v>
      </ns0:c>
      <ns0:c r="O195" s="191" t="str">
        <ns0:v>/Users/a./Desktop/飞书考勤留存_2026-10-27/逐日原始打卡截图与汇总_2026-10-27/原始截图/2026-10-08_0058_明细续页1.jpg</ns0:v>
      </ns0:c>
      <ns0:c r="P195" s="215"/>
      <ns0:c r="Q195" s="230"/>
      <ns0:c r="R195" s="201"/>
      <ns0:c r="S195" s="201"/>
    </ns0:row>
    <ns0:row r="196" ht="24" customHeight="1">
      <ns0:c r="A196" s="191" t="str">
        <ns0:v>2026-10-09</ns0:v>
      </ns0:c>
      <ns0:c r="B196" s="191" t="str">
        <ns0:v>2026-10</ns0:v>
      </ns0:c>
      <ns0:c r="C196" s="191" t="str">
        <ns0:v>五</ns0:v>
      </ns0:c>
      <ns0:c r="D196" s="191" t="str">
        <ns0:v>工作日（含法定调班日）</ns0:v>
      </ns0:c>
      <ns0:c r="E196" s="191" t="str">
        <ns0:v>09:56</ns0:v>
      </ns0:c>
      <ns0:c r="F196" s="191" t="str">
        <ns0:v>20:09</ns0:v>
      </ns0:c>
      <ns0:c r="G196" s="214" t="n">
        <ns0:v>73</ns0:v>
      </ns0:c>
      <ns0:c r="H196" s="214" t="n">
        <ns0:v>0</ns0:v>
      </ns0:c>
      <ns0:c r="I196" s="192" t="n">
        <ns0:f>G196/60*'核算总览'!$B$3/(21.75*8)*1.5</ns0:f>
        <ns0:v>255.49138777139206</ns0:v>
      </ns0:c>
      <ns0:c r="J196" s="192"/>
      <ns0:c r="K196" s="192"/>
      <ns0:c r="L196" s="192"/>
      <ns0:c r="M196" s="191" t="str"/>
      <ns0:c r="N196" s="191" t="str">
        <ns0:v>/Users/a./Desktop/飞书考勤留存_2026-10-27/逐日原始打卡截图与汇总_2026-10-27/原始截图/2026-10-09_0053_日历与明细上部.jpg</ns0:v>
      </ns0:c>
      <ns0:c r="O196" s="191" t="str">
        <ns0:v>/Users/a./Desktop/飞书考勤留存_2026-10-27/逐日原始打卡截图与汇总_2026-10-27/原始截图/2026-10-09_0054_明细续页1.jpg</ns0:v>
      </ns0:c>
      <ns0:c r="P196" s="215"/>
      <ns0:c r="Q196" s="230"/>
      <ns0:c r="R196" s="201"/>
      <ns0:c r="S196" s="201"/>
    </ns0:row>
    <ns0:row r="197" ht="24" customHeight="1">
      <ns0:c r="A197" s="191" t="str">
        <ns0:v>2026-10-10</ns0:v>
      </ns0:c>
      <ns0:c r="B197" s="191" t="str">
        <ns0:v>2026-10</ns0:v>
      </ns0:c>
      <ns0:c r="C197" s="191" t="str">
        <ns0:v>六</ns0:v>
      </ns0:c>
      <ns0:c r="D197" s="191" t="str">
        <ns0:v>工作日（含法定调班日）</ns0:v>
      </ns0:c>
      <ns0:c r="E197" s="191" t="str">
        <ns0:v>09:50</ns0:v>
      </ns0:c>
      <ns0:c r="F197" s="191" t="str">
        <ns0:v>19:53</ns0:v>
      </ns0:c>
      <ns0:c r="G197" s="214" t="n">
        <ns0:v>63</ns0:v>
      </ns0:c>
      <ns0:c r="H197" s="214" t="n">
        <ns0:v>0</ns0:v>
      </ns0:c>
      <ns0:c r="I197" s="192" t="n">
        <ns0:f>G197/60*'核算总览'!$B$3/(21.75*8)*1.5</ns0:f>
        <ns0:v>220.49256752873563</ns0:v>
      </ns0:c>
      <ns0:c r="J197" s="192"/>
      <ns0:c r="K197" s="192"/>
      <ns0:c r="L197" s="192"/>
      <ns0:c r="M197" s="191" t="str"/>
      <ns0:c r="N197" s="191" t="str">
        <ns0:v>/Users/a./Desktop/飞书考勤留存_2026-10-27/逐日原始打卡截图与汇总_2026-10-27/原始截图/2026-10-10_0050_日历与明细上部.jpg</ns0:v>
      </ns0:c>
      <ns0:c r="O197" s="191" t="str">
        <ns0:v>/Users/a./Desktop/飞书考勤留存_2026-10-27/逐日原始打卡截图与汇总_2026-10-27/原始截图/2026-10-10_0051_明细续页1.jpg</ns0:v>
      </ns0:c>
      <ns0:c r="P197" s="215"/>
      <ns0:c r="Q197" s="230"/>
      <ns0:c r="R197" s="201"/>
      <ns0:c r="S197" s="201"/>
    </ns0:row>
    <ns0:row r="198" ht="24" customHeight="1">
      <ns0:c r="A198" s="191" t="str">
        <ns0:v>2026-10-12</ns0:v>
      </ns0:c>
      <ns0:c r="B198" s="191" t="str">
        <ns0:v>2026-10</ns0:v>
      </ns0:c>
      <ns0:c r="C198" s="191" t="str">
        <ns0:v>一</ns0:v>
      </ns0:c>
      <ns0:c r="D198" s="191" t="str">
        <ns0:v>工作日（含法定调班日）</ns0:v>
      </ns0:c>
      <ns0:c r="E198" s="191" t="str">
        <ns0:v>09:45</ns0:v>
      </ns0:c>
      <ns0:c r="F198" s="191" t="str">
        <ns0:v>19:27</ns0:v>
      </ns0:c>
      <ns0:c r="G198" s="214" t="n">
        <ns0:v>42</ns0:v>
      </ns0:c>
      <ns0:c r="H198" s="214" t="n">
        <ns0:v>0</ns0:v>
      </ns0:c>
      <ns0:c r="I198" s="192" t="n">
        <ns0:f>G198/60*'核算总览'!$B$3/(21.75*8)*1.5</ns0:f>
        <ns0:v>146.99504501915706</ns0:v>
      </ns0:c>
      <ns0:c r="J198" s="192"/>
      <ns0:c r="K198" s="192"/>
      <ns0:c r="L198" s="192"/>
      <ns0:c r="M198" s="191" t="str"/>
      <ns0:c r="N198" s="191" t="str">
        <ns0:v>/Users/a./Desktop/飞书考勤留存_2026-10-27/逐日原始打卡截图与汇总_2026-10-27/原始截图/2026-10-12_0045_日历与明细上部.jpg</ns0:v>
      </ns0:c>
      <ns0:c r="O198" s="191" t="str">
        <ns0:v>/Users/a./Desktop/飞书考勤留存_2026-10-27/逐日原始打卡截图与汇总_2026-10-27/原始截图/2026-10-12_0046_明细续页1.jpg</ns0:v>
      </ns0:c>
      <ns0:c r="P198" s="215"/>
      <ns0:c r="Q198" s="230"/>
      <ns0:c r="R198" s="201"/>
      <ns0:c r="S198" s="201"/>
    </ns0:row>
    <ns0:row r="199" ht="24" customHeight="1">
      <ns0:c r="A199" s="191" t="str">
        <ns0:v>2026-10-13</ns0:v>
      </ns0:c>
      <ns0:c r="B199" s="191" t="str">
        <ns0:v>2026-10</ns0:v>
      </ns0:c>
      <ns0:c r="C199" s="191" t="str">
        <ns0:v>二</ns0:v>
      </ns0:c>
      <ns0:c r="D199" s="191" t="str">
        <ns0:v>工作日（含法定调班日）</ns0:v>
      </ns0:c>
      <ns0:c r="E199" s="191" t="str">
        <ns0:v>09:30</ns0:v>
      </ns0:c>
      <ns0:c r="F199" s="191" t="str">
        <ns0:v>18:50</ns0:v>
      </ns0:c>
      <ns0:c r="G199" s="214" t="n">
        <ns0:v>20</ns0:v>
      </ns0:c>
      <ns0:c r="H199" s="214" t="n">
        <ns0:v>0</ns0:v>
      </ns0:c>
      <ns0:c r="I199" s="192" t="n">
        <ns0:f>G199/60*'核算总览'!$B$3/(21.75*8)*1.5</ns0:f>
        <ns0:v>69.9976404853129</ns0:v>
      </ns0:c>
      <ns0:c r="J199" s="192"/>
      <ns0:c r="K199" s="192"/>
      <ns0:c r="L199" s="192"/>
      <ns0:c r="M199" s="191" t="str"/>
      <ns0:c r="N199" s="191" t="str">
        <ns0:v>/Users/a./Desktop/飞书考勤留存_2026-10-27/逐日原始打卡截图与汇总_2026-10-27/原始截图/2026-10-13_0042_日历与明细上部.jpg</ns0:v>
      </ns0:c>
      <ns0:c r="O199" s="191" t="str">
        <ns0:v>/Users/a./Desktop/飞书考勤留存_2026-10-27/逐日原始打卡截图与汇总_2026-10-27/原始截图/2026-10-13_0043_明细续页1.jpg</ns0:v>
      </ns0:c>
      <ns0:c r="P199" s="215"/>
      <ns0:c r="Q199" s="230"/>
      <ns0:c r="R199" s="201"/>
      <ns0:c r="S199" s="201"/>
    </ns0:row>
    <ns0:row r="200" ht="24" customHeight="1">
      <ns0:c r="A200" s="191" t="str">
        <ns0:v>2026-10-14</ns0:v>
      </ns0:c>
      <ns0:c r="B200" s="191" t="str">
        <ns0:v>2026-10</ns0:v>
      </ns0:c>
      <ns0:c r="C200" s="191" t="str">
        <ns0:v>三</ns0:v>
      </ns0:c>
      <ns0:c r="D200" s="191" t="str">
        <ns0:v>工作日（含法定调班日）</ns0:v>
      </ns0:c>
      <ns0:c r="E200" s="191" t="str">
        <ns0:v>09:54</ns0:v>
      </ns0:c>
      <ns0:c r="F200" s="191" t="str">
        <ns0:v>18:54</ns0:v>
      </ns0:c>
      <ns0:c r="G200" s="214" t="n">
        <ns0:v>0</ns0:v>
      </ns0:c>
      <ns0:c r="H200" s="214" t="n">
        <ns0:v>0</ns0:v>
      </ns0:c>
      <ns0:c r="I200" s="192" t="n">
        <ns0:f>G200/60*'核算总览'!$B$3/(21.75*8)*1.5</ns0:f>
        <ns0:v>0</ns0:v>
      </ns0:c>
      <ns0:c r="J200" s="192"/>
      <ns0:c r="K200" s="192"/>
      <ns0:c r="L200" s="192"/>
      <ns0:c r="M200" s="191" t="str"/>
      <ns0:c r="N200" s="191" t="str">
        <ns0:v>/Users/a./Desktop/飞书考勤留存_2026-10-27/逐日原始打卡截图与汇总_2026-10-27/原始截图/2026-10-14_0039_日历与明细上部.jpg</ns0:v>
      </ns0:c>
      <ns0:c r="O200" s="191" t="str">
        <ns0:v>/Users/a./Desktop/飞书考勤留存_2026-10-27/逐日原始打卡截图与汇总_2026-10-27/原始截图/2026-10-14_0040_明细续页1.jpg</ns0:v>
      </ns0:c>
      <ns0:c r="P200" s="215"/>
      <ns0:c r="Q200" s="230"/>
      <ns0:c r="R200" s="201"/>
      <ns0:c r="S200" s="201"/>
    </ns0:row>
    <ns0:row r="201" ht="24" customHeight="1">
      <ns0:c r="A201" s="191" t="str">
        <ns0:v>2026-10-15</ns0:v>
      </ns0:c>
      <ns0:c r="B201" s="191" t="str">
        <ns0:v>2026-10</ns0:v>
      </ns0:c>
      <ns0:c r="C201" s="191" t="str">
        <ns0:v>四</ns0:v>
      </ns0:c>
      <ns0:c r="D201" s="191" t="str">
        <ns0:v>工作日（含法定调班日）</ns0:v>
      </ns0:c>
      <ns0:c r="E201" s="191" t="str">
        <ns0:v>09:50</ns0:v>
      </ns0:c>
      <ns0:c r="F201" s="191" t="str">
        <ns0:v>19:02</ns0:v>
      </ns0:c>
      <ns0:c r="G201" s="214" t="n">
        <ns0:v>12</ns0:v>
      </ns0:c>
      <ns0:c r="H201" s="214" t="n">
        <ns0:v>0</ns0:v>
      </ns0:c>
      <ns0:c r="I201" s="192" t="n">
        <ns0:f>G201/60*'核算总览'!$B$3/(21.75*8)*1.5</ns0:f>
        <ns0:v>41.99858429118773</ns0:v>
      </ns0:c>
      <ns0:c r="J201" s="192"/>
      <ns0:c r="K201" s="192"/>
      <ns0:c r="L201" s="192"/>
      <ns0:c r="M201" s="191" t="str"/>
      <ns0:c r="N201" s="191" t="str">
        <ns0:v>/Users/a./Desktop/飞书考勤留存_2026-10-27/逐日原始打卡截图与汇总_2026-10-27/原始截图/2026-10-15_0036_日历与明细上部.jpg</ns0:v>
      </ns0:c>
      <ns0:c r="O201" s="191" t="str">
        <ns0:v>/Users/a./Desktop/飞书考勤留存_2026-10-27/逐日原始打卡截图与汇总_2026-10-27/原始截图/2026-10-15_0037_明细续页1.jpg</ns0:v>
      </ns0:c>
      <ns0:c r="P201" s="215"/>
      <ns0:c r="Q201" s="230"/>
      <ns0:c r="R201" s="201"/>
      <ns0:c r="S201" s="201"/>
    </ns0:row>
    <ns0:row r="202" ht="24" customHeight="1">
      <ns0:c r="A202" s="191" t="str">
        <ns0:v>2026-10-16</ns0:v>
      </ns0:c>
      <ns0:c r="B202" s="191" t="str">
        <ns0:v>2026-10</ns0:v>
      </ns0:c>
      <ns0:c r="C202" s="191" t="str">
        <ns0:v>五</ns0:v>
      </ns0:c>
      <ns0:c r="D202" s="191" t="str">
        <ns0:v>工作日（含法定调班日）</ns0:v>
      </ns0:c>
      <ns0:c r="E202" s="191" t="str">
        <ns0:v>09:57</ns0:v>
      </ns0:c>
      <ns0:c r="F202" s="191" t="str">
        <ns0:v>18:57</ns0:v>
      </ns0:c>
      <ns0:c r="G202" s="214" t="n">
        <ns0:v>0</ns0:v>
      </ns0:c>
      <ns0:c r="H202" s="214" t="n">
        <ns0:v>0</ns0:v>
      </ns0:c>
      <ns0:c r="I202" s="192" t="n">
        <ns0:f>G202/60*'核算总览'!$B$3/(21.75*8)*1.5</ns0:f>
        <ns0:v>0</ns0:v>
      </ns0:c>
      <ns0:c r="J202" s="192"/>
      <ns0:c r="K202" s="192"/>
      <ns0:c r="L202" s="192"/>
      <ns0:c r="M202" s="191" t="str"/>
      <ns0:c r="N202" s="191" t="str">
        <ns0:v>/Users/a./Desktop/飞书考勤留存_2026-10-27/逐日原始打卡截图与汇总_2026-10-27/原始截图/2026-10-16_0033_日历与明细上部.jpg</ns0:v>
      </ns0:c>
      <ns0:c r="O202" s="191" t="str">
        <ns0:v>/Users/a./Desktop/飞书考勤留存_2026-10-27/逐日原始打卡截图与汇总_2026-10-27/原始截图/2026-10-16_0034_明细续页1.jpg</ns0:v>
      </ns0:c>
      <ns0:c r="P202" s="215"/>
      <ns0:c r="Q202" s="230"/>
      <ns0:c r="R202" s="201"/>
      <ns0:c r="S202" s="201"/>
    </ns0:row>
    <ns0:row r="203" ht="24" customHeight="1">
      <ns0:c r="A203" s="191" t="str">
        <ns0:v>2026-10-18</ns0:v>
      </ns0:c>
      <ns0:c r="B203" s="191" t="str">
        <ns0:v>2026-10</ns0:v>
      </ns0:c>
      <ns0:c r="C203" s="191" t="str">
        <ns0:v>日</ns0:v>
      </ns0:c>
      <ns0:c r="D203" s="191" t="str">
        <ns0:v>休息日或假期</ns0:v>
      </ns0:c>
      <ns0:c r="E203" s="191" t="str">
        <ns0:v>09:32</ns0:v>
      </ns0:c>
      <ns0:c r="F203" s="191" t="str">
        <ns0:v>18:41</ns0:v>
      </ns0:c>
      <ns0:c r="G203" s="214" t="n">
        <ns0:v>0</ns0:v>
      </ns0:c>
      <ns0:c r="H203" s="214" t="n">
        <ns0:v>489</ns0:v>
      </ns0:c>
      <ns0:c r="I203" s="192" t="n">
        <ns0:f>G203/60*'核算总览'!$B$3/(21.75*8)*1.5</ns0:f>
        <ns0:v>0</ns0:v>
      </ns0:c>
      <ns0:c r="J203" s="192"/>
      <ns0:c r="K203" s="192"/>
      <ns0:c r="L203" s="192"/>
      <ns0:c r="M203" s="191" t="str"/>
      <ns0:c r="N203" s="191" t="str">
        <ns0:v>/Users/a./Desktop/飞书考勤留存_2026-10-27/逐日原始打卡截图与汇总_2026-10-27/原始截图/2026-10-18_0028_日历与明细上部.jpg</ns0:v>
      </ns0:c>
      <ns0:c r="O203" s="191" t="str">
        <ns0:v>/Users/a./Desktop/飞书考勤留存_2026-10-27/逐日原始打卡截图与汇总_2026-10-27/原始截图/2026-10-18_0029_明细续页1.jpg</ns0:v>
      </ns0:c>
      <ns0:c r="P203" s="215"/>
      <ns0:c r="Q203" s="230"/>
      <ns0:c r="R203" s="201"/>
      <ns0:c r="S203" s="201"/>
    </ns0:row>
    <ns0:row r="204" ht="24" customHeight="1">
      <ns0:c r="A204" s="191" t="str">
        <ns0:v>2026-10-19</ns0:v>
      </ns0:c>
      <ns0:c r="B204" s="191" t="str">
        <ns0:v>2026-10</ns0:v>
      </ns0:c>
      <ns0:c r="C204" s="191" t="str">
        <ns0:v>一</ns0:v>
      </ns0:c>
      <ns0:c r="D204" s="191" t="str">
        <ns0:v>工作日（含法定调班日）</ns0:v>
      </ns0:c>
      <ns0:c r="E204" s="191" t="str">
        <ns0:v>09:51</ns0:v>
      </ns0:c>
      <ns0:c r="F204" s="191" t="str">
        <ns0:v>18:52</ns0:v>
      </ns0:c>
      <ns0:c r="G204" s="214" t="n">
        <ns0:v>1</ns0:v>
      </ns0:c>
      <ns0:c r="H204" s="214" t="n">
        <ns0:v>0</ns0:v>
      </ns0:c>
      <ns0:c r="I204" s="192" t="n">
        <ns0:f>G204/60*'核算总览'!$B$3/(21.75*8)*1.5</ns0:f>
        <ns0:v>3.499882024265645</ns0:v>
      </ns0:c>
      <ns0:c r="J204" s="192"/>
      <ns0:c r="K204" s="192"/>
      <ns0:c r="L204" s="192"/>
      <ns0:c r="M204" s="191" t="str"/>
      <ns0:c r="N204" s="191" t="str">
        <ns0:v>/Users/a./Desktop/飞书考勤留存_2026-10-27/逐日原始打卡截图与汇总_2026-10-27/原始截图/2026-10-19_0025_日历与明细上部.jpg</ns0:v>
      </ns0:c>
      <ns0:c r="O204" s="191" t="str">
        <ns0:v>/Users/a./Desktop/飞书考勤留存_2026-10-27/逐日原始打卡截图与汇总_2026-10-27/原始截图/2026-10-19_0026_明细续页1.jpg</ns0:v>
      </ns0:c>
      <ns0:c r="P204" s="215"/>
      <ns0:c r="Q204" s="230"/>
      <ns0:c r="R204" s="201"/>
      <ns0:c r="S204" s="201"/>
    </ns0:row>
    <ns0:row r="205" ht="24" customHeight="1">
      <ns0:c r="A205" s="191" t="str">
        <ns0:v>2026-10-20</ns0:v>
      </ns0:c>
      <ns0:c r="B205" s="191" t="str">
        <ns0:v>2026-10</ns0:v>
      </ns0:c>
      <ns0:c r="C205" s="191" t="str">
        <ns0:v>二</ns0:v>
      </ns0:c>
      <ns0:c r="D205" s="191" t="str">
        <ns0:v>工作日（含法定调班日）</ns0:v>
      </ns0:c>
      <ns0:c r="E205" s="191" t="str">
        <ns0:v>09:54</ns0:v>
      </ns0:c>
      <ns0:c r="F205" s="191" t="str">
        <ns0:v>18:55</ns0:v>
      </ns0:c>
      <ns0:c r="G205" s="214" t="n">
        <ns0:v>1</ns0:v>
      </ns0:c>
      <ns0:c r="H205" s="214" t="n">
        <ns0:v>0</ns0:v>
      </ns0:c>
      <ns0:c r="I205" s="192" t="n">
        <ns0:f>G205/60*'核算总览'!$B$3/(21.75*8)*1.5</ns0:f>
        <ns0:v>3.499882024265645</ns0:v>
      </ns0:c>
      <ns0:c r="J205" s="192"/>
      <ns0:c r="K205" s="192"/>
      <ns0:c r="L205" s="192"/>
      <ns0:c r="M205" s="191" t="str"/>
      <ns0:c r="N205" s="191" t="str">
        <ns0:v>/Users/a./Desktop/飞书考勤留存_2026-10-27/逐日原始打卡截图与汇总_2026-10-27/原始截图/2026-10-20_0022_日历与明细上部.jpg</ns0:v>
      </ns0:c>
      <ns0:c r="O205" s="191" t="str">
        <ns0:v>/Users/a./Desktop/飞书考勤留存_2026-10-27/逐日原始打卡截图与汇总_2026-10-27/原始截图/2026-10-20_0023_明细续页1.jpg</ns0:v>
      </ns0:c>
      <ns0:c r="P205" s="215"/>
      <ns0:c r="Q205" s="230"/>
      <ns0:c r="R205" s="201"/>
      <ns0:c r="S205" s="201"/>
    </ns0:row>
    <ns0:row r="206" ht="24" customHeight="1">
      <ns0:c r="A206" s="191" t="str">
        <ns0:v>2026-10-21</ns0:v>
      </ns0:c>
      <ns0:c r="B206" s="191" t="str">
        <ns0:v>2026-10</ns0:v>
      </ns0:c>
      <ns0:c r="C206" s="191" t="str">
        <ns0:v>三</ns0:v>
      </ns0:c>
      <ns0:c r="D206" s="191" t="str">
        <ns0:v>工作日（含法定调班日）</ns0:v>
      </ns0:c>
      <ns0:c r="E206" s="191" t="str">
        <ns0:v>09:57</ns0:v>
      </ns0:c>
      <ns0:c r="F206" s="191" t="str">
        <ns0:v>20:05</ns0:v>
      </ns0:c>
      <ns0:c r="G206" s="214" t="n">
        <ns0:v>68</ns0:v>
      </ns0:c>
      <ns0:c r="H206" s="214" t="n">
        <ns0:v>0</ns0:v>
      </ns0:c>
      <ns0:c r="I206" s="192" t="n">
        <ns0:f>G206/60*'核算总览'!$B$3/(21.75*8)*1.5</ns0:f>
        <ns0:v>237.99197765006386</ns0:v>
      </ns0:c>
      <ns0:c r="J206" s="192"/>
      <ns0:c r="K206" s="192"/>
      <ns0:c r="L206" s="192"/>
      <ns0:c r="M206" s="191" t="str"/>
      <ns0:c r="N206" s="191" t="str">
        <ns0:v>/Users/a./Desktop/飞书考勤留存_2026-10-27/逐日原始打卡截图与汇总_2026-10-27/原始截图/2026-10-21_0019_日历与明细上部.jpg</ns0:v>
      </ns0:c>
      <ns0:c r="O206" s="191" t="str">
        <ns0:v>/Users/a./Desktop/飞书考勤留存_2026-10-27/逐日原始打卡截图与汇总_2026-10-27/原始截图/2026-10-21_0020_明细续页1.jpg</ns0:v>
      </ns0:c>
      <ns0:c r="P206" s="215"/>
      <ns0:c r="Q206" s="230"/>
      <ns0:c r="R206" s="201"/>
      <ns0:c r="S206" s="201"/>
    </ns0:row>
    <ns0:row r="207" ht="24" customHeight="1">
      <ns0:c r="A207" s="191" t="str">
        <ns0:v>2026-10-22</ns0:v>
      </ns0:c>
      <ns0:c r="B207" s="191" t="str">
        <ns0:v>2026-10</ns0:v>
      </ns0:c>
      <ns0:c r="C207" s="191" t="str">
        <ns0:v>四</ns0:v>
      </ns0:c>
      <ns0:c r="D207" s="191" t="str">
        <ns0:v>工作日（含法定调班日）</ns0:v>
      </ns0:c>
      <ns0:c r="E207" s="191" t="str">
        <ns0:v>09:40</ns0:v>
      </ns0:c>
      <ns0:c r="F207" s="191" t="str">
        <ns0:v>19:10</ns0:v>
      </ns0:c>
      <ns0:c r="G207" s="214" t="n">
        <ns0:v>30</ns0:v>
      </ns0:c>
      <ns0:c r="H207" s="214" t="n">
        <ns0:v>0</ns0:v>
      </ns0:c>
      <ns0:c r="I207" s="192" t="n">
        <ns0:f>G207/60*'核算总览'!$B$3/(21.75*8)*1.5</ns0:f>
        <ns0:v>104.99646072796935</ns0:v>
      </ns0:c>
      <ns0:c r="J207" s="192"/>
      <ns0:c r="K207" s="192"/>
      <ns0:c r="L207" s="192"/>
      <ns0:c r="M207" s="191" t="str"/>
      <ns0:c r="N207" s="191" t="str">
        <ns0:v>/Users/a./Desktop/飞书考勤留存_2026-10-27/逐日原始打卡截图与汇总_2026-10-27/原始截图/2026-10-22_0016_日历与明细上部.jpg</ns0:v>
      </ns0:c>
      <ns0:c r="O207" s="191" t="str">
        <ns0:v>/Users/a./Desktop/飞书考勤留存_2026-10-27/逐日原始打卡截图与汇总_2026-10-27/原始截图/2026-10-22_0017_明细续页1.jpg</ns0:v>
      </ns0:c>
      <ns0:c r="P207" s="215"/>
      <ns0:c r="Q207" s="230"/>
      <ns0:c r="R207" s="201"/>
      <ns0:c r="S207" s="201"/>
    </ns0:row>
    <ns0:row r="208" ht="24" customHeight="1">
      <ns0:c r="A208" s="191" t="str">
        <ns0:v>2026-10-23</ns0:v>
      </ns0:c>
      <ns0:c r="B208" s="191" t="str">
        <ns0:v>2026-10</ns0:v>
      </ns0:c>
      <ns0:c r="C208" s="191" t="str">
        <ns0:v>五</ns0:v>
      </ns0:c>
      <ns0:c r="D208" s="191" t="str">
        <ns0:v>工作日（含法定调班日）</ns0:v>
      </ns0:c>
      <ns0:c r="E208" s="191" t="str">
        <ns0:v>09:58</ns0:v>
      </ns0:c>
      <ns0:c r="F208" s="191" t="str">
        <ns0:v>19:48</ns0:v>
      </ns0:c>
      <ns0:c r="G208" s="214" t="n">
        <ns0:v>50</ns0:v>
      </ns0:c>
      <ns0:c r="H208" s="214" t="n">
        <ns0:v>0</ns0:v>
      </ns0:c>
      <ns0:c r="I208" s="192" t="n">
        <ns0:f>G208/60*'核算总览'!$B$3/(21.75*8)*1.5</ns0:f>
        <ns0:v>174.99410121328225</ns0:v>
      </ns0:c>
      <ns0:c r="J208" s="192"/>
      <ns0:c r="K208" s="192"/>
      <ns0:c r="L208" s="192"/>
      <ns0:c r="M208" s="191" t="str"/>
      <ns0:c r="N208" s="191" t="str">
        <ns0:v>/Users/a./Desktop/飞书考勤留存_2026-10-27/逐日原始打卡截图与汇总_2026-10-27/原始截图/2026-10-23_0013_日历与明细上部.jpg</ns0:v>
      </ns0:c>
      <ns0:c r="O208" s="191" t="str">
        <ns0:v>/Users/a./Desktop/飞书考勤留存_2026-10-27/逐日原始打卡截图与汇总_2026-10-27/原始截图/2026-10-23_0014_明细续页1.jpg</ns0:v>
      </ns0:c>
      <ns0:c r="P208" s="215"/>
      <ns0:c r="Q208" s="230"/>
      <ns0:c r="R208" s="201"/>
      <ns0:c r="S208" s="201"/>
    </ns0:row>
    <ns0:row r="209" ht="24" customHeight="1">
      <ns0:c r="A209" s="191" t="str">
        <ns0:v>2026-10-24</ns0:v>
      </ns0:c>
      <ns0:c r="B209" s="191" t="str">
        <ns0:v>2026-10</ns0:v>
      </ns0:c>
      <ns0:c r="C209" s="191" t="str">
        <ns0:v>六</ns0:v>
      </ns0:c>
      <ns0:c r="D209" s="191" t="str">
        <ns0:v>休息日或假期</ns0:v>
      </ns0:c>
      <ns0:c r="E209" s="191" t="str">
        <ns0:v>10:00</ns0:v>
      </ns0:c>
      <ns0:c r="F209" s="191" t="str">
        <ns0:v>19:00</ns0:v>
      </ns0:c>
      <ns0:c r="G209" s="214" t="n">
        <ns0:v>0</ns0:v>
      </ns0:c>
      <ns0:c r="H209" s="214" t="n">
        <ns0:v>480</ns0:v>
      </ns0:c>
      <ns0:c r="I209" s="192" t="n">
        <ns0:f>G209/60*'核算总览'!$B$3/(21.75*8)*1.5</ns0:f>
        <ns0:v>0</ns0:v>
      </ns0:c>
      <ns0:c r="J209" s="192"/>
      <ns0:c r="K209" s="192"/>
      <ns0:c r="L209" s="192"/>
      <ns0:c r="M209" s="191" t="str">
        <ns0:v>加班</ns0:v>
      </ns0:c>
      <ns0:c r="N209" s="191" t="str">
        <ns0:v>/Users/a./Desktop/飞书考勤留存_2026-10-27/逐日原始打卡截图与汇总_2026-10-27/原始截图/2026-10-24_0010_日历与明细上部.jpg</ns0:v>
      </ns0:c>
      <ns0:c r="O209" s="191" t="str">
        <ns0:v>/Users/a./Desktop/飞书考勤留存_2026-10-27/逐日原始打卡截图与汇总_2026-10-27/原始截图/2026-10-24_0011_明细续页1.jpg</ns0:v>
      </ns0:c>
      <ns0:c r="P209" s="215"/>
      <ns0:c r="Q209" s="230"/>
      <ns0:c r="R209" s="201"/>
      <ns0:c r="S209" s="201"/>
    </ns0:row>
    <ns0:row r="210" ht="24" customHeight="1">
      <ns0:c r="A210" s="191" t="str">
        <ns0:v>2026-10-26</ns0:v>
      </ns0:c>
      <ns0:c r="B210" s="191" t="str">
        <ns0:v>2026-10</ns0:v>
      </ns0:c>
      <ns0:c r="C210" s="191" t="str">
        <ns0:v>一</ns0:v>
      </ns0:c>
      <ns0:c r="D210" s="191" t="str">
        <ns0:v>工作日（含法定调班日）</ns0:v>
      </ns0:c>
      <ns0:c r="E210" s="191" t="str">
        <ns0:v>09:55</ns0:v>
      </ns0:c>
      <ns0:c r="F210" s="191" t="str">
        <ns0:v>19:06</ns0:v>
      </ns0:c>
      <ns0:c r="G210" s="214" t="n">
        <ns0:v>11</ns0:v>
      </ns0:c>
      <ns0:c r="H210" s="214" t="n">
        <ns0:v>0</ns0:v>
      </ns0:c>
      <ns0:c r="I210" s="192" t="n">
        <ns0:f>G210/60*'核算总览'!$B$3/(21.75*8)*1.5</ns0:f>
        <ns0:v>38.49870226692209</ns0:v>
      </ns0:c>
      <ns0:c r="J210" s="192"/>
      <ns0:c r="K210" s="192"/>
      <ns0:c r="L210" s="192"/>
      <ns0:c r="M210" s="191" t="str"/>
      <ns0:c r="N210" s="191" t="str">
        <ns0:v>/Users/a./Desktop/飞书考勤留存_2026-10-27/逐日原始打卡截图与汇总_2026-10-27/原始截图/2026-10-26_0003_日历与明细上部.jpg</ns0:v>
      </ns0:c>
      <ns0:c r="O210" s="191" t="str">
        <ns0:v>/Users/a./Desktop/飞书考勤留存_2026-10-27/逐日原始打卡截图与汇总_2026-10-27/原始截图/2026-10-26_0004_明细续页1.jpg</ns0:v>
      </ns0:c>
      <ns0:c r="P210" s="215"/>
      <ns0:c r="Q210" s="230"/>
      <ns0:c r="R210" s="201"/>
      <ns0:c r="S210" s="201"/>
    </ns0:row>
    <ns0:row r="211">
      <ns0:c r="A211" s="191" t="str">
        <ns0:v>2026-10-28</ns0:v>
      </ns0:c>
      <ns0:c r="B211" s="191" t="str">
        <ns0:v>2026-10</ns0:v>
      </ns0:c>
      <ns0:c r="C211" s="191" t="str">
        <ns0:v>三</ns0:v>
      </ns0:c>
      <ns0:c r="D211" s="191" t="str">
        <ns0:v>工作日（含法定调班日）</ns0:v>
      </ns0:c>
      <ns0:c r="E211" s="191" t="str">
        <ns0:v>09:55</ns0:v>
      </ns0:c>
      <ns0:c r="F211" s="191" t="str">
        <ns0:v>19:36</ns0:v>
      </ns0:c>
      <ns0:c r="G211" s="214" t="n">
        <ns0:v>41</ns0:v>
      </ns0:c>
      <ns0:c r="H211" s="214" t="n">
        <ns0:v>0</ns0:v>
      </ns0:c>
      <ns0:c r="I211" s="192" t="n">
        <ns0:f>G211/60*'核算总览'!$B$3/(21.75*8)*1.5</ns0:f>
        <ns0:v>143.49516299489142</ns0:v>
      </ns0:c>
      <ns0:c r="J211" s="192"/>
      <ns0:c r="K211" s="192"/>
      <ns0:c r="L211" s="192"/>
      <ns0:c r="M211" s="191"/>
      <ns0:c r="N211" s="191" t="str">
        <ns0:v>/Users/a./Desktop/飞书考勤留存_2026-10-27/逐日原始打卡截图与汇总_2026-10-27/原始截图/2026-10-28_01_日历与完整明细.png</ns0:v>
      </ns0:c>
      <ns0:c r="O211" s="191" t="str"/>
      <ns0:c r="P211" s="215"/>
      <ns0:c r="Q211" s="230"/>
      <ns0:c r="R211" s="201"/>
      <ns0:c r="S211" s="201"/>
    </ns0:row>
    <ns0:row r="212">
      <ns0:c r="A212" s="191" t="str">
        <ns0:v>2026-10-29</ns0:v>
      </ns0:c>
      <ns0:c r="B212" s="191" t="str">
        <ns0:v>2026-10</ns0:v>
      </ns0:c>
      <ns0:c r="C212" s="191" t="str">
        <ns0:v>四</ns0:v>
      </ns0:c>
      <ns0:c r="D212" s="191" t="str">
        <ns0:v>工作日（含法定调班日）</ns0:v>
      </ns0:c>
      <ns0:c r="E212" s="191" t="str">
        <ns0:v>09:56</ns0:v>
      </ns0:c>
      <ns0:c r="F212" s="191" t="str">
        <ns0:v>18:56</ns0:v>
      </ns0:c>
      <ns0:c r="G212" s="214" t="n">
        <ns0:v>0</ns0:v>
      </ns0:c>
      <ns0:c r="H212" s="214" t="n">
        <ns0:v>0</ns0:v>
      </ns0:c>
      <ns0:c r="I212" s="192" t="n">
        <ns0:f>G212/60*'核算总览'!$B$3/(21.75*8)*1.5</ns0:f>
        <ns0:v>0</ns0:v>
      </ns0:c>
      <ns0:c r="J212" s="192"/>
      <ns0:c r="K212" s="192"/>
      <ns0:c r="L212" s="192"/>
      <ns0:c r="M212" s="191"/>
      <ns0:c r="N212" s="191" t="str">
        <ns0:v>/Users/a./Desktop/飞书考勤留存_2026-10-27/逐日原始打卡截图与汇总_2026-10-27/原始截图/2026-10-29_01_日历与考勤明细.jpg</ns0:v>
      </ns0:c>
      <ns0:c r="O212" s="191" t="str"/>
      <ns0:c r="P212" s="215"/>
      <ns0:c r="Q212" s="230"/>
      <ns0:c r="R212" s="201"/>
      <ns0:c r="S212" s="201"/>
    </ns0:row>
    <ns0:row r="213" ht="66" customHeight="1">
      <ns0:c r="A213" s="191" t="str">
        <ns0:v>2026-10-30</ns0:v>
      </ns0:c>
      <ns0:c r="B213" s="191" t="str">
        <ns0:v>2026-10</ns0:v>
      </ns0:c>
      <ns0:c r="C213" s="191" t="str">
        <ns0:v>五</ns0:v>
      </ns0:c>
      <ns0:c r="D213" s="216" t="str">
        <ns0:v>单边打卡；不推算完整工时</ns0:v>
      </ns0:c>
      <ns0:c r="E213" s="191" t="str"/>
      <ns0:c r="F213" s="191" t="str">
        <ns0:v>19:06</ns0:v>
      </ns0:c>
      <ns0:c r="G213" s="214"/>
      <ns0:c r="H213" s="214"/>
      <ns0:c r="I213" s="192"/>
      <ns0:c r="J213" s="192"/>
      <ns0:c r="K213" s="192"/>
      <ns0:c r="L213" s="192"/>
      <ns0:c r="M213" s="216" t="str">
        <ns0:v>调休2小时；上班无需打卡；未新增计薪</ns0:v>
      </ns0:c>
      <ns0:c r="N213" s="191" t="str">
        <ns0:v>/Users/a./Desktop/飞书考勤留存_2026-10-27/逐日原始打卡截图与汇总_2026-10-27/原始截图/2026-10-30_01_日历与考勤明细.jpg</ns0:v>
      </ns0:c>
      <ns0:c r="O213" s="191" t="str"/>
      <ns0:c r="P213" s="215"/>
      <ns0:c r="Q213" s="230"/>
      <ns0:c r="R213" s="201"/>
      <ns0:c r="S213" s="201"/>
    </ns0:row>
    <ns0:row r="214" ht="66" customHeight="1">
      <ns0:c r="A214" s="191" t="str">
        <ns0:v>2026-10-31</ns0:v>
      </ns0:c>
      <ns0:c r="B214" s="191" t="str">
        <ns0:v>2026-10</ns0:v>
      </ns0:c>
      <ns0:c r="C214" s="191" t="str">
        <ns0:v>六</ns0:v>
      </ns0:c>
      <ns0:c r="D214" s="216" t="str">
        <ns0:v>今日休息；无需打卡</ns0:v>
      </ns0:c>
      <ns0:c r="E214" s="191" t="str"/>
      <ns0:c r="F214" s="191" t="str"/>
      <ns0:c r="G214" s="214"/>
      <ns0:c r="H214" s="214"/>
      <ns0:c r="I214" s="192"/>
      <ns0:c r="J214" s="192"/>
      <ns0:c r="K214" s="192"/>
      <ns0:c r="L214" s="192"/>
      <ns0:c r="M214" s="216" t="str">
        <ns0:v>上下班未打卡/无需打卡；未新增计薪</ns0:v>
      </ns0:c>
      <ns0:c r="N214" s="191" t="str">
        <ns0:v>/Users/a./Desktop/飞书考勤留存_2026-10-27/逐日原始打卡截图与汇总_2026-10-27/原始截图/2026-10-31_01_日历与完整明细.jpg</ns0:v>
      </ns0:c>
      <ns0:c r="O214" s="191" t="str"/>
      <ns0:c r="P214" s="215"/>
      <ns0:c r="Q214" s="230"/>
      <ns0:c r="R214" s="201"/>
      <ns0:c r="S214" s="201"/>
    </ns0:row>
    <ns0:row r="215" ht="66" customHeight="1">
      <ns0:c r="A215" s="191" t="str">
        <ns0:v>2026-11-01</ns0:v>
      </ns0:c>
      <ns0:c r="B215" s="191" t="str">
        <ns0:v>2026-11</ns0:v>
      </ns0:c>
      <ns0:c r="C215" s="191" t="str">
        <ns0:v>日</ns0:v>
      </ns0:c>
      <ns0:c r="D215" s="216" t="str">
        <ns0:v>大小休排班；加班归类待核实</ns0:v>
      </ns0:c>
      <ns0:c r="E215" s="191" t="str">
        <ns0:v>09:55</ns0:v>
      </ns0:c>
      <ns0:c r="F215" s="191" t="str">
        <ns0:v>18:56</ns0:v>
      </ns0:c>
      <ns0:c r="G215" s="214"/>
      <ns0:c r="H215" s="214"/>
      <ns0:c r="I215" s="192"/>
      <ns0:c r="J215" s="192"/>
      <ns0:c r="K215" s="192"/>
      <ns0:c r="L215" s="192"/>
      <ns0:c r="M215" s="216" t="str">
        <ns0:v>最终18:56；4条已更新记录不采；参考481分钟不等于认可加班；未计金额</ns0:v>
      </ns0:c>
      <ns0:c r="N215" s="191" t="str">
        <ns0:v>/Users/a./Desktop/飞书考勤留存_2026-10-27/逐日原始打卡截图与汇总_2026-10-27/原始截图/2026-11-01_01_日历与打卡上部.jpg</ns0:v>
      </ns0:c>
      <ns0:c r="O215" s="191" t="str">
        <ns0:v>/Users/a./Desktop/飞书考勤留存_2026-10-27/逐日原始打卡截图与汇总_2026-10-27/原始截图/2026-11-01_03_最终下班明细.jpg</ns0:v>
      </ns0:c>
      <ns0:c r="P215" s="215"/>
      <ns0:c r="Q215" s="230"/>
      <ns0:c r="R215" s="201"/>
      <ns0:c r="S215" s="201"/>
      <ns0:c r="T215" t="n">
        <ns0:v>481</ns0:v>
      </ns0:c>
      <ns0:c r="U215" t="str">
        <ns0:v>/Users/a./Desktop/飞书考勤留存_2026-10-27/逐日原始打卡截图与汇总_2026-10-27/原始截图/2026-11-01_02_打卡明细.jpg</ns0:v>
      </ns0:c>
    </ns0:row>
    <ns0:row r="216" ht="66" customHeight="1">
      <ns0:c r="A216" s="191" t="str">
        <ns0:v>2026-11-02</ns0:v>
      </ns0:c>
      <ns0:c r="B216" s="191" t="str">
        <ns0:v>2026-11</ns0:v>
      </ns0:c>
      <ns0:c r="C216" s="191" t="str">
        <ns0:v>一</ns0:v>
      </ns0:c>
      <ns0:c r="D216" s="216" t="str">
        <ns0:v>工作日</ns0:v>
      </ns0:c>
      <ns0:c r="E216" s="191" t="str">
        <ns0:v>09:57</ns0:v>
      </ns0:c>
      <ns0:c r="F216" s="191" t="str">
        <ns0:v>19:00</ns0:v>
      </ns0:c>
      <ns0:c r="G216" s="214"/>
      <ns0:c r="H216" s="214"/>
      <ns0:c r="I216" s="192"/>
      <ns0:c r="J216" s="192"/>
      <ns0:c r="K216" s="192"/>
      <ns0:c r="L216" s="192"/>
      <ns0:c r="M216" s="216" t="str">
        <ns0:v>扣午休参考483分钟；超8小时3分钟，整小时加班为0</ns0:v>
      </ns0:c>
      <ns0:c r="N216" s="191" t="str">
        <ns0:v>/Users/a./Desktop/飞书考勤留存_2026-10-27/逐日原始打卡截图与汇总_2026-10-27/原始截图/2026-11-02_01_日历与完整打卡明细.jpg</ns0:v>
      </ns0:c>
      <ns0:c r="O216" s="191"/>
      <ns0:c r="P216" s="215"/>
      <ns0:c r="Q216" s="230"/>
      <ns0:c r="R216" s="201"/>
      <ns0:c r="S216" s="201"/>
      <ns0:c r="T216" t="n">
        <ns0:v>483</ns0:v>
      </ns0:c>
      <ns0:c r="U216"/>
    </ns0:row>
    <ns0:row r="217" ht="66" customHeight="1">
      <ns0:c r="A217" s="191" t="str">
        <ns0:v>2026-11-03</ns0:v>
      </ns0:c>
      <ns0:c r="B217" s="191" t="str">
        <ns0:v>2026-11</ns0:v>
      </ns0:c>
      <ns0:c r="C217" s="191" t="str">
        <ns0:v>二</ns0:v>
      </ns0:c>
      <ns0:c r="D217" s="216" t="str">
        <ns0:v>工作日</ns0:v>
      </ns0:c>
      <ns0:c r="E217" s="191" t="str">
        <ns0:v>09:58</ns0:v>
      </ns0:c>
      <ns0:c r="F217" s="191"/>
      <ns0:c r="G217" s="214"/>
      <ns0:c r="H217" s="214"/>
      <ns0:c r="I217" s="192"/>
      <ns0:c r="J217" s="192"/>
      <ns0:c r="K217" s="192"/>
      <ns0:c r="L217" s="192"/>
      <ns0:c r="M217" s="216" t="str">
        <ns0:v>仅上班打卡；完整工时待下班记录</ns0:v>
      </ns0:c>
      <ns0:c r="N217" s="191" t="str">
        <ns0:v>/Users/a./Desktop/飞书考勤留存_2026-10-27/逐日原始打卡截图与汇总_2026-10-27/原始截图/2026-11-03_01_日历与当前打卡明细.jpg</ns0:v>
      </ns0:c>
      <ns0:c r="O217" s="191"/>
      <ns0:c r="P217" s="215"/>
      <ns0:c r="Q217" s="230"/>
      <ns0:c r="R217" s="201"/>
      <ns0:c r="S217" s="201"/>
      <ns0:c r="T217"/>
      <ns0:c r="U217"/>
    </ns0:row>
  </ns0:sheetData>
  <ns0:pageMargins left="0.7" right="0.7" top="0.75" bottom="0.75" header="0.3" footer="0.3"/>
</ns0:worksheet>
</file>

<file path=xl/worksheets/sheet15.xml><?xml version="1.0" encoding="utf-8"?>
<ns0:worksheet xmlns:ns0="http://schemas.openxmlformats.org/spreadsheetml/2006/main">
  <ns0:sheetViews>
    <ns0:sheetView showGridLines="0" workbookViewId="0">
      <ns0:pane ySplit="1" topLeftCell="A2" activePane="bottomLeft" state="frozen"/>
    </ns0:sheetView>
  </ns0:sheetViews>
  <ns0:sheetFormatPr defaultRowHeight="15"/>
  <ns0:cols>
    <ns0:col min="1" max="1" width="13" hidden="0" customWidth="1"/>
    <ns0:col min="2" max="2" width="20" hidden="1" customWidth="1"/>
    <ns0:col min="3" max="3" width="18" hidden="0" customWidth="1"/>
    <ns0:col min="4" max="4" width="18" hidden="1" customWidth="1"/>
    <ns0:col min="5" max="5" width="19" hidden="1" customWidth="1"/>
    <ns0:col min="6" max="6" width="18" hidden="0" customWidth="1"/>
    <ns0:col min="7" max="7" width="15" hidden="1" customWidth="1"/>
    <ns0:col min="8" max="8" width="19" hidden="0" customWidth="1"/>
    <ns0:col min="9" max="9" width="20" hidden="0" customWidth="1"/>
    <ns0:col min="10" max="10" width="20" hidden="0" customWidth="1"/>
    <ns0:col min="11" max="11" width="20" hidden="0" customWidth="1"/>
    <ns0:col min="12" max="12" width="20" hidden="0" customWidth="1"/>
    <ns0:col min="13" max="13" width="23" hidden="0" customWidth="1"/>
    <ns0:col min="14" max="14" width="74" hidden="0" customWidth="1"/>
    <ns0:col min="15" max="15" width="28" hidden="0" customWidth="1"/>
    <ns0:col min="16" max="16" width="25" hidden="0" customWidth="1"/>
    <ns0:col min="17" max="17" width="26" hidden="0" customWidth="1"/>
  </ns0:cols>
  <ns0:sheetData>
    <ns0:row r="1" ht="52" customHeight="1">
      <ns0:c r="A1" s="190" t="str">
        <ns0:v>月份</ns0:v>
      </ns0:c>
      <ns0:c r="B1" s="190" t="str">
        <ns0:v>工作日超8小时分钟</ns0:v>
      </ns0:c>
      <ns0:c r="C1" s="190" t="str">
        <ns0:v>工作日加班小时</ns0:v>
      </ns0:c>
      <ns0:c r="D1" s="190" t="str">
        <ns0:v>涉及工作日数</ns0:v>
      </ns0:c>
      <ns0:c r="E1" s="190" t="str">
        <ns0:v>周末打卡分钟（原分类）</ns0:v>
      </ns0:c>
      <ns0:c r="F1" s="190" t="str">
        <ns0:v>周末打卡小时（原分类）</ns0:v>
      </ns0:c>
      <ns0:c r="G1" s="190" t="str">
        <ns0:v>周末打卡天数（原分类）</ns0:v>
      </ns0:c>
      <ns0:c r="H1" s="190" t="str">
        <ns0:v>工资单已付加班项</ns0:v>
      </ns0:c>
      <ns0:c r="I1" s="190" t="str">
        <ns0:v>档位小时×月平均工资：工作日150%应付</ns0:v>
      </ns0:c>
      <ns0:c r="J1" s="190" t="str">
        <ns0:v>月平均工资：休息日200%应付</ns0:v>
      </ns0:c>
      <ns0:c r="K1" s="190"/>
      <ns0:c r="L1" s="190"/>
      <ns0:c r="M1" s="190" t="str">
        <ns0:v>证据状态</ns0:v>
      </ns0:c>
      <ns0:c r="N1" s="190" t="str">
        <ns0:v>月度说明</ns0:v>
      </ns0:c>
      <ns0:c r="O1" s="190"/>
      <ns0:c r="P1" s="190" t="str">
        <ns0:v>已付月份工作日差额</ns0:v>
      </ns0:c>
      <ns0:c r="Q1" s="190" t="str">
        <ns0:v>政策档位认可工作日加班小时</ns0:v>
      </ns0:c>
    </ns0:row>
    <ns0:row r="2" ht="82" customHeight="1">
      <ns0:c r="A2" s="191" t="str">
        <ns0:v>2025-12</ns0:v>
      </ns0:c>
      <ns0:c r="B2" s="214" t="n">
        <ns0:f>SUMIF('逐日加班'!$B$2:$B$215,A2,'逐日加班'!$G$2:$G$215)</ns0:f>
        <ns0:v>564</ns0:v>
      </ns0:c>
      <ns0:c r="C2" s="215" t="n">
        <ns0:f>B2/60</ns0:f>
        <ns0:v>9.4</ns0:v>
      </ns0:c>
      <ns0:c r="D2" s="191" t="n">
        <ns0:v>8</ns0:v>
      </ns0:c>
      <ns0:c r="E2" s="214" t="n">
        <ns0:f>SUMIF('逐日加班'!$B$2:$B$215,A2,'逐日加班'!$H$2:$H$215)</ns0:f>
        <ns0:v>1109</ns0:v>
      </ns0:c>
      <ns0:c r="F2" s="215" t="n">
        <ns0:f>E2/60</ns0:f>
        <ns0:v>18.483333333333334</ns0:v>
      </ns0:c>
      <ns0:c r="G2" s="191" t="n">
        <ns0:v>2</ns0:v>
      </ns0:c>
      <ns0:c r="H2" s="192" t="n">
        <ns0:v>0</ns0:v>
      </ns0:c>
      <ns0:c r="I2" s="192" t="n">
        <ns0:f>0</ns0:f>
        <ns0:v>0</ns0:v>
      </ns0:c>
      <ns0:c r="J2" s="192" t="n">
        <ns0:f>'单双休加班明细'!D4</ns0:f>
        <ns0:v>2239.92</ns0:v>
      </ns0:c>
      <ns0:c r="K2" s="192"/>
      <ns0:c r="L2" s="192"/>
      <ns0:c r="M2" s="216" t="str">
        <ns0:v>2025年12月排班校正：六天工作一日</ns0:v>
      </ns0:c>
      <ns0:c r="N2" s="216" t="str">
        <ns0:v>单双休按逐周实际工作日减应出勤日计算；国家放假调班与全天年假调整应出勤日，部分请假有工作计1天。多出天数按8小时/天折算；审批加班单列。</ns0:v>
      </ns0:c>
      <ns0:c r="O2" s="192"/>
      <ns0:c r="P2" s="192"/>
      <ns0:c r="Q2" s="215"/>
    </ns0:row>
    <ns0:row r="3" ht="82" customHeight="1">
      <ns0:c r="A3" s="191" t="str">
        <ns0:v>2026-01</ns0:v>
      </ns0:c>
      <ns0:c r="B3" s="214" t="n">
        <ns0:f>SUMIF('逐日加班'!$B$2:$B$215,A3,'逐日加班'!$G$2:$G$215)</ns0:f>
        <ns0:v>1242</ns0:v>
      </ns0:c>
      <ns0:c r="C3" s="215" t="n">
        <ns0:f>B3/60</ns0:f>
        <ns0:v>20.7</ns0:v>
      </ns0:c>
      <ns0:c r="D3" s="191" t="n">
        <ns0:v>17</ns0:v>
      </ns0:c>
      <ns0:c r="E3" s="214" t="n">
        <ns0:f>SUMIF('逐日加班'!$B$2:$B$215,A3,'逐日加班'!$H$2:$H$215)</ns0:f>
        <ns0:v>1922</ns0:v>
      </ns0:c>
      <ns0:c r="F3" s="215" t="n">
        <ns0:f>E3/60</ns0:f>
        <ns0:v>32.03333333333333</ns0:v>
      </ns0:c>
      <ns0:c r="G3" s="191" t="n">
        <ns0:v>3</ns0:v>
      </ns0:c>
      <ns0:c r="H3" s="192" t="n">
        <ns0:v>967</ns0:v>
      </ns0:c>
      <ns0:c r="I3" s="192" t="n">
        <ns0:f>Q3*'核算总览'!$B$3/(21.75*8)*1.5</ns0:f>
        <ns0:v>3832.3708165708813</ns0:v>
      </ns0:c>
      <ns0:c r="J3" s="192" t="n">
        <ns0:f>'单双休加班明细'!D5</ns0:f>
        <ns0:v>4479.84</ns0:v>
      </ns0:c>
      <ns0:c r="K3" s="192"/>
      <ns0:c r="L3" s="192"/>
      <ns0:c r="M3" s="216" t="str">
        <ns0:v>3月22日前：月均工时档</ns0:v>
      </ns0:c>
      <ns0:c r="N3" s="216" t="str">
        <ns0:v>单双休按逐周实际工作日减应出勤日计算；国家放假调班与全天年假调整应出勤日，部分请假有工作计1天。多出天数按8小时/天折算；审批加班单列。</ns0:v>
      </ns0:c>
      <ns0:c r="O3" s="192"/>
      <ns0:c r="P3" s="192" t="n">
        <ns0:f>I3-H3</ns0:f>
        <ns0:v>2865.3708165708813</ns0:v>
      </ns0:c>
      <ns0:c r="Q3" s="221" t="n">
        <ns0:v>18.25</ns0:v>
      </ns0:c>
    </ns0:row>
    <ns0:row r="4" ht="82" customHeight="1">
      <ns0:c r="A4" s="191" t="str">
        <ns0:v>2026-02</ns0:v>
      </ns0:c>
      <ns0:c r="B4" s="214" t="n">
        <ns0:f>SUMIF('逐日加班'!$B$2:$B$215,A4,'逐日加班'!$G$2:$G$215)</ns0:f>
        <ns0:v>907</ns0:v>
      </ns0:c>
      <ns0:c r="C4" s="215" t="n">
        <ns0:f>B4/60</ns0:f>
        <ns0:v>15.116666666666667</ns0:v>
      </ns0:c>
      <ns0:c r="D4" s="191" t="n">
        <ns0:v>14</ns0:v>
      </ns0:c>
      <ns0:c r="E4" s="214" t="n">
        <ns0:f>SUMIF('逐日加班'!$B$2:$B$215,A4,'逐日加班'!$H$2:$H$215)</ns0:f>
        <ns0:v>1206</ns0:v>
      </ns0:c>
      <ns0:c r="F4" s="215" t="n">
        <ns0:f>E4/60</ns0:f>
        <ns0:v>20.1</ns0:v>
      </ns0:c>
      <ns0:c r="G4" s="191" t="n">
        <ns0:v>2</ns0:v>
      </ns0:c>
      <ns0:c r="H4" s="192" t="n">
        <ns0:v>985</ns0:v>
      </ns0:c>
      <ns0:c r="I4" s="192" t="n">
        <ns0:f>Q4*'核算总览'!$B$3/(21.75*8)*1.5</ns0:f>
        <ns0:v>3097.395591475096</ns0:v>
      </ns0:c>
      <ns0:c r="J4" s="192" t="n">
        <ns0:f>'单双休加班明细'!D6</ns0:f>
        <ns0:v>2239.92</ns0:v>
      </ns0:c>
      <ns0:c r="K4" s="192"/>
      <ns0:c r="L4" s="192"/>
      <ns0:c r="M4" s="216" t="str">
        <ns0:v>3月22日前：月均工时档</ns0:v>
      </ns0:c>
      <ns0:c r="N4" s="216" t="str">
        <ns0:v>单双休按逐周实际工作日减应出勤日计算；国家放假调班与全天年假调整应出勤日，部分请假有工作计1天。多出天数按8小时/天折算；审批加班单列。</ns0:v>
      </ns0:c>
      <ns0:c r="O4" s="192"/>
      <ns0:c r="P4" s="192" t="n">
        <ns0:f>I4-H4</ns0:f>
        <ns0:v>2112.395591475096</ns0:v>
      </ns0:c>
      <ns0:c r="Q4" s="221" t="n">
        <ns0:v>14.75</ns0:v>
      </ns0:c>
    </ns0:row>
    <ns0:row r="5" ht="82" customHeight="1">
      <ns0:c r="A5" s="219" t="str">
        <ns0:v>2026-03</ns0:v>
      </ns0:c>
      <ns0:c r="B5" s="220" t="n">
        <ns0:f>SUMIF('逐日加班'!$B$2:$B$215,A5,'逐日加班'!$G$2:$G$215)</ns0:f>
        <ns0:v>623</ns0:v>
      </ns0:c>
      <ns0:c r="C5" s="221" t="n">
        <ns0:f>B5/60</ns0:f>
        <ns0:v>10.383333333333333</ns0:v>
      </ns0:c>
      <ns0:c r="D5" s="219" t="n">
        <ns0:v>18</ns0:v>
      </ns0:c>
      <ns0:c r="E5" s="220" t="n">
        <ns0:f>SUMIF('逐日加班'!$B$2:$B$215,A5,'逐日加班'!$H$2:$H$215)</ns0:f>
        <ns0:v>2148</ns0:v>
      </ns0:c>
      <ns0:c r="F5" s="221" t="n">
        <ns0:f>E5/60</ns0:f>
        <ns0:v>35.8</ns0:v>
      </ns0:c>
      <ns0:c r="G5" s="219" t="n">
        <ns0:v>4</ns0:v>
      </ns0:c>
      <ns0:c r="H5" s="222"/>
      <ns0:c r="I5" s="222" t="n">
        <ns0:f>0</ns0:f>
        <ns0:v>0</ns0:v>
      </ns0:c>
      <ns0:c r="J5" s="222" t="n">
        <ns0:f>'单双休加班明细'!D7</ns0:f>
        <ns0:v>4479.84</ns0:v>
      </ns0:c>
      <ns0:c r="K5" s="222"/>
      <ns0:c r="L5" s="222"/>
      <ns0:c r="M5" s="213" t="str">
        <ns0:v>2026年3月工资单加班项未见，本次不纳入</ns0:v>
      </ns0:c>
      <ns0:c r="N5" s="213" t="str">
        <ns0:v>单双休按逐周实际工作日减应出勤日计算；国家放假调班与全天年假调整应出勤日，部分请假有工作计1天。多出天数按8小时/天折算；审批加班单列。</ns0:v>
      </ns0:c>
      <ns0:c r="O5" s="192"/>
      <ns0:c r="P5" s="192"/>
      <ns0:c r="Q5" s="215"/>
    </ns0:row>
    <ns0:row r="6" ht="82" customHeight="1">
      <ns0:c r="A6" s="191" t="str">
        <ns0:v>2026-04</ns0:v>
      </ns0:c>
      <ns0:c r="B6" s="214" t="n">
        <ns0:f>SUMIF('逐日加班'!$B$2:$B$215,A6,'逐日加班'!$G$2:$G$215)</ns0:f>
        <ns0:v>1702</ns0:v>
      </ns0:c>
      <ns0:c r="C6" s="215" t="n">
        <ns0:f>B6/60</ns0:f>
        <ns0:v>28.366666666666667</ns0:v>
      </ns0:c>
      <ns0:c r="D6" s="191" t="n">
        <ns0:v>19</ns0:v>
      </ns0:c>
      <ns0:c r="E6" s="214" t="n">
        <ns0:f>SUMIF('逐日加班'!$B$2:$B$215,A6,'逐日加班'!$H$2:$H$215)</ns0:f>
        <ns0:v>546</ns0:v>
      </ns0:c>
      <ns0:c r="F6" s="215" t="n">
        <ns0:f>E6/60</ns0:f>
        <ns0:v>9.1</ns0:v>
      </ns0:c>
      <ns0:c r="G6" s="191" t="n">
        <ns0:v>1</ns0:v>
      </ns0:c>
      <ns0:c r="H6" s="192" t="n">
        <ns0:v>1291.7</ns0:v>
      </ns0:c>
      <ns0:c r="I6" s="192" t="n">
        <ns0:f>Q6*'核算总览'!$B$3/(21.75*8)*1.5</ns0:f>
        <ns0:v>5039.830114942529</ns0:v>
      </ns0:c>
      <ns0:c r="J6" s="192" t="n">
        <ns0:f>'单双休加班明细'!D8</ns0:f>
        <ns0:v>6719.76</ns0:v>
      </ns0:c>
      <ns0:c r="K6" s="192"/>
      <ns0:c r="L6" s="192"/>
      <ns0:c r="M6" s="216" t="str">
        <ns0:v>3月22日后：逐日工时档</ns0:v>
      </ns0:c>
      <ns0:c r="N6" s="216" t="str">
        <ns0:v>单双休按逐周实际工作日减应出勤日计算；国家放假调班与全天年假调整应出勤日，部分请假有工作计1天。多出天数按8小时/天折算；审批加班单列。</ns0:v>
      </ns0:c>
      <ns0:c r="O6" s="192"/>
      <ns0:c r="P6" s="192" t="n">
        <ns0:f>I6-H6</ns0:f>
        <ns0:v>3748.130114942529</ns0:v>
      </ns0:c>
      <ns0:c r="Q6" s="215" t="n">
        <ns0:f>SUMIF('逐日加班'!$B$2:$B$215,A6,'逐日加班'!$R$2:$R$215)</ns0:f>
        <ns0:v>24</ns0:v>
      </ns0:c>
    </ns0:row>
    <ns0:row r="7" ht="82" customHeight="1">
      <ns0:c r="A7" s="191" t="str">
        <ns0:v>2026-05</ns0:v>
      </ns0:c>
      <ns0:c r="B7" s="214" t="n">
        <ns0:f>SUMIF('逐日加班'!$B$2:$B$215,A7,'逐日加班'!$G$2:$G$215)</ns0:f>
        <ns0:v>1439</ns0:v>
      </ns0:c>
      <ns0:c r="C7" s="215" t="n">
        <ns0:f>B7/60</ns0:f>
        <ns0:v>23.983333333333334</ns0:v>
      </ns0:c>
      <ns0:c r="D7" s="191" t="n">
        <ns0:v>18</ns0:v>
      </ns0:c>
      <ns0:c r="E7" s="214" t="n">
        <ns0:f>SUMIF('逐日加班'!$B$2:$B$215,A7,'逐日加班'!$H$2:$H$215)</ns0:f>
        <ns0:v>1048</ns0:v>
      </ns0:c>
      <ns0:c r="F7" s="215" t="n">
        <ns0:f>E7/60</ns0:f>
        <ns0:v>17.466666666666665</ns0:v>
      </ns0:c>
      <ns0:c r="G7" s="191" t="n">
        <ns0:v>2</ns0:v>
      </ns0:c>
      <ns0:c r="H7" s="192" t="n">
        <ns0:v>1095.26</ns0:v>
      </ns0:c>
      <ns0:c r="I7" s="192" t="n">
        <ns0:f>Q7*'核算总览'!$B$3/(21.75*8)*1.5</ns0:f>
        <ns0:v>4409.851350574712</ns0:v>
      </ns0:c>
      <ns0:c r="J7" s="192" t="n">
        <ns0:f>'单双休加班明细'!D9</ns0:f>
        <ns0:v>2239.92</ns0:v>
      </ns0:c>
      <ns0:c r="K7" s="192"/>
      <ns0:c r="L7" s="192"/>
      <ns0:c r="M7" s="216" t="str">
        <ns0:v>3月22日后：逐日工时档</ns0:v>
      </ns0:c>
      <ns0:c r="N7" s="216" t="str">
        <ns0:v>单双休按逐周实际工作日减应出勤日计算；国家放假调班与全天年假调整应出勤日，部分请假有工作计1天。多出天数按8小时/天折算；审批加班单列。</ns0:v>
      </ns0:c>
      <ns0:c r="O7" s="192"/>
      <ns0:c r="P7" s="192" t="n">
        <ns0:f>I7-H7</ns0:f>
        <ns0:v>3314.591350574712</ns0:v>
      </ns0:c>
      <ns0:c r="Q7" s="215" t="n">
        <ns0:f>SUMIF('逐日加班'!$B$2:$B$215,A7,'逐日加班'!$R$2:$R$215)</ns0:f>
        <ns0:v>21</ns0:v>
      </ns0:c>
    </ns0:row>
    <ns0:row r="8" ht="82" customHeight="1">
      <ns0:c r="A8" s="191" t="str">
        <ns0:v>2026-06</ns0:v>
      </ns0:c>
      <ns0:c r="B8" s="214" t="n">
        <ns0:f>SUMIF('逐日加班'!$B$2:$B$215,A8,'逐日加班'!$G$2:$G$215)</ns0:f>
        <ns0:v>1256</ns0:v>
      </ns0:c>
      <ns0:c r="C8" s="215" t="n">
        <ns0:f>B8/60</ns0:f>
        <ns0:v>20.933333333333334</ns0:v>
      </ns0:c>
      <ns0:c r="D8" s="191" t="n">
        <ns0:v>19</ns0:v>
      </ns0:c>
      <ns0:c r="E8" s="214" t="n">
        <ns0:f>SUMIF('逐日加班'!$B$2:$B$215,A8,'逐日加班'!$H$2:$H$215)</ns0:f>
        <ns0:v>1144</ns0:v>
      </ns0:c>
      <ns0:c r="F8" s="215" t="n">
        <ns0:f>E8/60</ns0:f>
        <ns0:v>19.066666666666666</ns0:v>
      </ns0:c>
      <ns0:c r="G8" s="191" t="n">
        <ns0:v>2</ns0:v>
      </ns0:c>
      <ns0:c r="H8" s="192" t="n">
        <ns0:v>1000.02</ns0:v>
      </ns0:c>
      <ns0:c r="I8" s="192" t="n">
        <ns0:f>Q8*'核算总览'!$B$3/(21.75*8)*1.5</ns0:f>
        <ns0:v>3989.8655076628347</ns0:v>
      </ns0:c>
      <ns0:c r="J8" s="192" t="n">
        <ns0:f>'单双休加班明细'!D10</ns0:f>
        <ns0:v>4479.84</ns0:v>
      </ns0:c>
      <ns0:c r="K8" s="192"/>
      <ns0:c r="L8" s="192"/>
      <ns0:c r="M8" s="216" t="str">
        <ns0:v>3月22日后：逐日工时档</ns0:v>
      </ns0:c>
      <ns0:c r="N8" s="216" t="str">
        <ns0:v>单双休按逐周实际工作日减应出勤日计算；国家放假调班与全天年假调整应出勤日，部分请假有工作计1天。多出天数按8小时/天折算；审批加班单列。</ns0:v>
      </ns0:c>
      <ns0:c r="O8" s="192"/>
      <ns0:c r="P8" s="192" t="n">
        <ns0:f>I8-H8</ns0:f>
        <ns0:v>2989.8455076628347</ns0:v>
      </ns0:c>
      <ns0:c r="Q8" s="215" t="n">
        <ns0:f>SUMIF('逐日加班'!$B$2:$B$215,A8,'逐日加班'!$R$2:$R$215)</ns0:f>
        <ns0:v>19</ns0:v>
      </ns0:c>
    </ns0:row>
    <ns0:row r="9" ht="82" customHeight="1">
      <ns0:c r="A9" s="191" t="str">
        <ns0:v>2026-07</ns0:v>
      </ns0:c>
      <ns0:c r="B9" s="214" t="n">
        <ns0:f>SUMIF('逐日加班'!$B$2:$B$215,A9,'逐日加班'!$G$2:$G$215)</ns0:f>
        <ns0:v>1063</ns0:v>
      </ns0:c>
      <ns0:c r="C9" s="215" t="n">
        <ns0:f>B9/60</ns0:f>
        <ns0:v>17.716666666666665</ns0:v>
      </ns0:c>
      <ns0:c r="D9" s="191" t="n">
        <ns0:v>20</ns0:v>
      </ns0:c>
      <ns0:c r="E9" s="214" t="n">
        <ns0:f>SUMIF('逐日加班'!$B$2:$B$215,A9,'逐日加班'!$H$2:$H$215)</ns0:f>
        <ns0:v>557</ns0:v>
      </ns0:c>
      <ns0:c r="F9" s="215" t="n">
        <ns0:f>E9/60</ns0:f>
        <ns0:v>9.283333333333333</ns0:v>
      </ns0:c>
      <ns0:c r="G9" s="191" t="n">
        <ns0:v>1</ns0:v>
      </ns0:c>
      <ns0:c r="H9" s="192" t="n">
        <ns0:v>560</ns0:v>
      </ns0:c>
      <ns0:c r="I9" s="192" t="n">
        <ns0:f>Q9*'核算总览'!$B$3/(21.75*8)*1.5</ns0:f>
        <ns0:v>2939.9009003831416</ns0:v>
      </ns0:c>
      <ns0:c r="J9" s="192" t="n">
        <ns0:f>'单双休加班明细'!D11</ns0:f>
        <ns0:v>4479.84</ns0:v>
      </ns0:c>
      <ns0:c r="K9" s="192"/>
      <ns0:c r="L9" s="192"/>
      <ns0:c r="M9" s="216" t="str">
        <ns0:v>3月22日后：逐日工时档</ns0:v>
      </ns0:c>
      <ns0:c r="N9" s="216" t="str">
        <ns0:v>单双休按逐周实际工作日减应出勤日计算；国家放假调班与全天年假调整应出勤日，部分请假有工作计1天。多出天数按8小时/天折算；审批加班单列。</ns0:v>
      </ns0:c>
      <ns0:c r="O9" s="192"/>
      <ns0:c r="P9" s="192" t="n">
        <ns0:f>I9-H9</ns0:f>
        <ns0:v>2379.9009003831416</ns0:v>
      </ns0:c>
      <ns0:c r="Q9" s="215" t="n">
        <ns0:f>SUMIF('逐日加班'!$B$2:$B$215,A9,'逐日加班'!$R$2:$R$215)</ns0:f>
        <ns0:v>14</ns0:v>
      </ns0:c>
    </ns0:row>
    <ns0:row r="10" ht="82" customHeight="1">
      <ns0:c r="A10" s="191" t="str">
        <ns0:v>2026-08</ns0:v>
      </ns0:c>
      <ns0:c r="B10" s="214" t="n">
        <ns0:f>SUMIF('逐日加班'!$B$2:$B$215,A10,'逐日加班'!$G$2:$G$215)</ns0:f>
        <ns0:v>740</ns0:v>
      </ns0:c>
      <ns0:c r="C10" s="215" t="n">
        <ns0:f>B10/60</ns0:f>
        <ns0:v>12.333333333333334</ns0:v>
      </ns0:c>
      <ns0:c r="D10" s="191" t="n">
        <ns0:v>17</ns0:v>
      </ns0:c>
      <ns0:c r="E10" s="214" t="n">
        <ns0:f>SUMIF('逐日加班'!$B$2:$B$215,A10,'逐日加班'!$H$2:$H$215)</ns0:f>
        <ns0:v>480</ns0:v>
      </ns0:c>
      <ns0:c r="F10" s="215" t="n">
        <ns0:f>E10/60</ns0:f>
        <ns0:v>8</ns0:v>
      </ns0:c>
      <ns0:c r="G10" s="191" t="n">
        <ns0:v>1</ns0:v>
      </ns0:c>
      <ns0:c r="H10" s="192" t="n">
        <ns0:v>434.8</ns0:v>
      </ns0:c>
      <ns0:c r="I10" s="192" t="n">
        <ns0:f>Q10*'核算总览'!$B$3/(21.75*8)*1.5</ns0:f>
        <ns0:v>2099.9292145593868</ns0:v>
      </ns0:c>
      <ns0:c r="J10" s="192" t="n">
        <ns0:f>'单双休加班明细'!D12</ns0:f>
        <ns0:v>4479.84</ns0:v>
      </ns0:c>
      <ns0:c r="K10" s="192"/>
      <ns0:c r="L10" s="192"/>
      <ns0:c r="M10" s="216" t="str">
        <ns0:v>3月22日后：逐日工时档</ns0:v>
      </ns0:c>
      <ns0:c r="N10" s="216" t="str">
        <ns0:v>单双休按逐周实际工作日减应出勤日计算；国家放假调班与全天年假调整应出勤日，部分请假有工作计1天。多出天数按8小时/天折算；审批加班单列。</ns0:v>
      </ns0:c>
      <ns0:c r="O10" s="192"/>
      <ns0:c r="P10" s="192" t="n">
        <ns0:f>I10-H10</ns0:f>
        <ns0:v>1665.1292145593868</ns0:v>
      </ns0:c>
      <ns0:c r="Q10" s="215" t="n">
        <ns0:f>SUMIF('逐日加班'!$B$2:$B$215,A10,'逐日加班'!$R$2:$R$215)</ns0:f>
        <ns0:v>10</ns0:v>
      </ns0:c>
    </ns0:row>
    <ns0:row r="11" ht="82" customHeight="1">
      <ns0:c r="A11" s="191" t="str">
        <ns0:v>2026-09</ns0:v>
      </ns0:c>
      <ns0:c r="B11" s="214" t="n">
        <ns0:f>SUMIF('逐日加班'!$B$2:$B$215,A11,'逐日加班'!$G$2:$G$215)</ns0:f>
        <ns0:v>231</ns0:v>
      </ns0:c>
      <ns0:c r="C11" s="215" t="n">
        <ns0:f>B11/60</ns0:f>
        <ns0:v>3.85</ns0:v>
      </ns0:c>
      <ns0:c r="D11" s="191" t="n">
        <ns0:v>15</ns0:v>
      </ns0:c>
      <ns0:c r="E11" s="214" t="n">
        <ns0:f>SUMIF('逐日加班'!$B$2:$B$215,A11,'逐日加班'!$H$2:$H$215)</ns0:f>
        <ns0:v>484</ns0:v>
      </ns0:c>
      <ns0:c r="F11" s="215" t="n">
        <ns0:f>E11/60</ns0:f>
        <ns0:v>8.066666666666666</ns0:v>
      </ns0:c>
      <ns0:c r="G11" s="191" t="n">
        <ns0:v>1</ns0:v>
      </ns0:c>
      <ns0:c r="H11" s="192" t="n">
        <ns0:v>0</ns0:v>
      </ns0:c>
      <ns0:c r="I11" s="192" t="n">
        <ns0:f>0</ns0:f>
        <ns0:v>0</ns0:v>
      </ns0:c>
      <ns0:c r="J11" s="192" t="n">
        <ns0:f>'单双休加班明细'!D13</ns0:f>
        <ns0:v>2239.92</ns0:v>
      </ns0:c>
      <ns0:c r="K11" s="192"/>
      <ns0:c r="L11" s="192"/>
      <ns0:c r="M11" s="216" t="str">
        <ns0:v>2026年9月加班项为0，不纳入</ns0:v>
      </ns0:c>
      <ns0:c r="N11" s="216" t="str">
        <ns0:v>单双休按逐周实际工作日减应出勤日计算；国家放假调班与全天年假调整应出勤日，部分请假有工作计1天。多出天数按8小时/天折算；审批加班单列。</ns0:v>
      </ns0:c>
      <ns0:c r="O11" s="192"/>
      <ns0:c r="P11" s="192"/>
      <ns0:c r="Q11" s="215"/>
    </ns0:row>
    <ns0:row r="12" ht="82" customHeight="1">
      <ns0:c r="A12" s="219" t="str">
        <ns0:v>2026-10</ns0:v>
      </ns0:c>
      <ns0:c r="B12" s="220" t="n">
        <ns0:f>SUMIF('逐日加班'!$B$2:$B$215,A12,'逐日加班'!$G$2:$G$215)</ns0:f>
        <ns0:v>517</ns0:v>
      </ns0:c>
      <ns0:c r="C12" s="221" t="n">
        <ns0:f>B12/60</ns0:f>
        <ns0:v>8.616666666666667</ns0:v>
      </ns0:c>
      <ns0:c r="D12" s="219" t="n">
        <ns0:v>14</ns0:v>
      </ns0:c>
      <ns0:c r="E12" s="220" t="n">
        <ns0:f>SUMIF('逐日加班'!$B$2:$B$215,A12,'逐日加班'!$H$2:$H$215)</ns0:f>
        <ns0:v>969</ns0:v>
      </ns0:c>
      <ns0:c r="F12" s="221" t="n">
        <ns0:f>E12/60</ns0:f>
        <ns0:v>16.15</ns0:v>
      </ns0:c>
      <ns0:c r="G12" s="219" t="n">
        <ns0:v>2</ns0:v>
      </ns0:c>
      <ns0:c r="H12" s="222"/>
      <ns0:c r="I12" s="222" t="n">
        <ns0:f>0</ns0:f>
        <ns0:v>0</ns0:v>
      </ns0:c>
      <ns0:c r="J12" s="222" t="n">
        <ns0:f>'单双休加班明细'!D14+'十月未补休明细'!B12</ns0:f>
        <ns0:v>5599.8099999999995</ns0:v>
      </ns0:c>
      <ns0:c r="K12" s="222"/>
      <ns0:c r="L12" s="222"/>
      <ns0:c r="M12" s="213" t="str">
        <ns0:v>金额核算至十月；新增10/30单边及10/31休息已补原始记录</ns0:v>
      </ns0:c>
      <ns0:c r="N12" s="213" t="str">
        <ns0:v>单双休按逐周实际工作日减应出勤日计算；国家放假调班与全天年假调整应出勤日，部分请假有工作计1天。多出天数按8小时/天折算；审批加班单列。</ns0:v>
      </ns0:c>
      <ns0:c r="O12" s="192"/>
      <ns0:c r="P12" s="192"/>
      <ns0:c r="Q12" s="215"/>
    </ns0:row>
  </ns0:sheetData>
  <ns0:pageMargins left="0.7" right="0.7" top="0.75" bottom="0.75" header="0.3" footer="0.3"/>
</ns0:worksheet>
</file>

<file path=xl/worksheets/sheet16.xml><?xml version="1.0" encoding="utf-8"?>
<ns0:worksheet xmlns:ns0="http://schemas.openxmlformats.org/spreadsheetml/2006/main">
  <ns0:sheetViews>
    <ns0:sheetView showGridLines="0" workbookViewId="0">
      <ns0:pane ySplit="1" topLeftCell="A2" activePane="bottomLeft" state="frozen"/>
    </ns0:sheetView>
  </ns0:sheetViews>
  <ns0:sheetFormatPr defaultRowHeight="15"/>
  <ns0:cols>
    <ns0:col min="1" max="1" width="13" hidden="0" customWidth="1"/>
    <ns0:col min="2" max="2" width="14" hidden="0" customWidth="1"/>
    <ns0:col min="3" max="3" width="15" hidden="0" customWidth="1"/>
    <ns0:col min="4" max="4" width="19" hidden="0" customWidth="1"/>
    <ns0:col min="5" max="5" width="19" hidden="0" customWidth="1"/>
    <ns0:col min="6" max="6" width="17" hidden="0" customWidth="1"/>
    <ns0:col min="7" max="7" width="21" hidden="0" customWidth="1"/>
    <ns0:col min="8" max="8" width="20" hidden="0" customWidth="1"/>
    <ns0:col min="9" max="9" width="17" hidden="0" customWidth="1"/>
    <ns0:col min="10" max="10" width="30" hidden="0" customWidth="1"/>
    <ns0:col min="11" max="11" width="29" hidden="0" customWidth="1"/>
  </ns0:cols>
  <ns0:sheetData>
    <ns0:row r="1" ht="30" customHeight="1">
      <ns0:c r="A1" s="190" t="str">
        <ns0:v>月份</ns0:v>
      </ns0:c>
      <ns0:c r="B1" s="190" t="str">
        <ns0:v>已缴基数</ns0:v>
      </ns0:c>
      <ns0:c r="C1" s="190" t="str">
        <ns0:v>目标基数</ns0:v>
      </ns0:c>
      <ns0:c r="D1" s="190"/>
      <ns0:c r="E1" s="190"/>
      <ns0:c r="F1" s="190"/>
      <ns0:c r="G1" s="190" t="str">
        <ns0:v>原基数单位缴费（不含工伤）</ns0:v>
      </ns0:c>
      <ns0:c r="H1" s="190" t="str">
        <ns0:v>目标基数单位缴费（不含工伤）</ns0:v>
      </ns0:c>
      <ns0:c r="I1" s="190" t="str">
        <ns0:v>单位补缴小计（不含工伤）</ns0:v>
      </ns0:c>
      <ns0:c r="J1" s="190" t="str">
        <ns0:v>工伤说明</ns0:v>
      </ns0:c>
      <ns0:c r="K1"/>
    </ns0:row>
    <ns0:row r="2" ht="66" customHeight="1">
      <ns0:c r="A2" s="191" t="str">
        <ns0:v>2025-12</ns0:v>
      </ns0:c>
      <ns0:c r="B2" s="192" t="n">
        <ns0:v>0</ns0:v>
      </ns0:c>
      <ns0:c r="C2" s="192" t="n">
        <ns0:f>'核算总览'!$B$5</ns0:f>
        <ns0:v>24359.178888888888</ns0:v>
      </ns0:c>
      <ns0:c r="D2" s="192"/>
      <ns0:c r="E2" s="192"/>
      <ns0:c r="F2" s="192"/>
      <ns0:c r="G2" s="192" t="n">
        <ns0:f>ROUND(B2*16%,2)+ROUND(B2*9.5%,2)+ROUND(B2*0.5%,2)</ns0:f>
        <ns0:v>0</ns0:v>
      </ns0:c>
      <ns0:c r="H2" s="192" t="n">
        <ns0:f>ROUND(C2*16%,2)+ROUND(C2*9.5%,2)+ROUND(C2*0.5%,2)</ns0:f>
        <ns0:v>6333.39</ns0:v>
      </ns0:c>
      <ns0:c r="I2" s="192" t="n">
        <ns0:f>H2-G2</ns0:f>
        <ns0:v>6333.39</ns0:v>
      </ns0:c>
      <ns0:c r="J2" s="216" t="str">
        <ns0:v>2025年12月单位未缴，已缴金额0元；12/19入职，适用月基数待核定，暂按目标月基数核算。</ns0:v>
      </ns0:c>
      <ns0:c r="K2"/>
    </ns0:row>
    <ns0:row r="3" ht="66" customHeight="1">
      <ns0:c r="A3" s="191" t="str">
        <ns0:v>2026-01</ns0:v>
      </ns0:c>
      <ns0:c r="B3" s="192" t="n">
        <ns0:f>'核算总览'!$B$6</ns0:f>
        <ns0:v>4986</ns0:v>
      </ns0:c>
      <ns0:c r="C3" s="192" t="n">
        <ns0:f>'核算总览'!$B$5</ns0:f>
        <ns0:v>24359.178888888888</ns0:v>
      </ns0:c>
      <ns0:c r="D3" s="192"/>
      <ns0:c r="E3" s="192"/>
      <ns0:c r="F3" s="192"/>
      <ns0:c r="G3" s="192" t="n">
        <ns0:f>ROUND(B3*16%,2)+ROUND(B3*9.5%,2)+ROUND(B3*0.5%,2)</ns0:f>
        <ns0:v>1296.3600000000001</ns0:v>
      </ns0:c>
      <ns0:c r="H3" s="192" t="n">
        <ns0:f>ROUND(C3*16%,2)+ROUND(C3*9.5%,2)+ROUND(C3*0.5%,2)</ns0:f>
        <ns0:v>6333.39</ns0:v>
      </ns0:c>
      <ns0:c r="I3" s="192" t="n">
        <ns0:f>H3-G3</ns0:f>
        <ns0:v>5037.030000000001</ns0:v>
      </ns0:c>
      <ns0:c r="J3" s="216" t="str">
        <ns0:v>沿原有4986元基数口径；以正式缴费流水核对。</ns0:v>
      </ns0:c>
      <ns0:c r="K3"/>
    </ns0:row>
    <ns0:row r="4" ht="66" customHeight="1">
      <ns0:c r="A4" s="191" t="str">
        <ns0:v>2026-02</ns0:v>
      </ns0:c>
      <ns0:c r="B4" s="192" t="n">
        <ns0:f>'核算总览'!$B$6</ns0:f>
        <ns0:v>4986</ns0:v>
      </ns0:c>
      <ns0:c r="C4" s="192" t="n">
        <ns0:f>'核算总览'!$B$5</ns0:f>
        <ns0:v>24359.178888888888</ns0:v>
      </ns0:c>
      <ns0:c r="D4" s="192"/>
      <ns0:c r="E4" s="192"/>
      <ns0:c r="F4" s="192"/>
      <ns0:c r="G4" s="192" t="n">
        <ns0:f>ROUND(B4*16%,2)+ROUND(B4*9.5%,2)+ROUND(B4*0.5%,2)</ns0:f>
        <ns0:v>1296.3600000000001</ns0:v>
      </ns0:c>
      <ns0:c r="H4" s="192" t="n">
        <ns0:f>ROUND(C4*16%,2)+ROUND(C4*9.5%,2)+ROUND(C4*0.5%,2)</ns0:f>
        <ns0:v>6333.39</ns0:v>
      </ns0:c>
      <ns0:c r="I4" s="192" t="n">
        <ns0:f>H4-G4</ns0:f>
        <ns0:v>5037.030000000001</ns0:v>
      </ns0:c>
      <ns0:c r="J4" s="216" t="str">
        <ns0:v>沿原有4986元基数口径；以正式缴费流水核对。</ns0:v>
      </ns0:c>
      <ns0:c r="K4"/>
    </ns0:row>
    <ns0:row r="5" ht="66" customHeight="1">
      <ns0:c r="A5" s="191" t="str">
        <ns0:v>2026-03</ns0:v>
      </ns0:c>
      <ns0:c r="B5" s="192" t="n">
        <ns0:f>'核算总览'!$B$6</ns0:f>
        <ns0:v>4986</ns0:v>
      </ns0:c>
      <ns0:c r="C5" s="192" t="n">
        <ns0:f>'核算总览'!$B$5</ns0:f>
        <ns0:v>24359.178888888888</ns0:v>
      </ns0:c>
      <ns0:c r="D5" s="192"/>
      <ns0:c r="E5" s="192"/>
      <ns0:c r="F5" s="192"/>
      <ns0:c r="G5" s="192" t="n">
        <ns0:f>ROUND(B5*16%,2)+ROUND(B5*9.5%,2)+ROUND(B5*0.5%,2)</ns0:f>
        <ns0:v>1296.3600000000001</ns0:v>
      </ns0:c>
      <ns0:c r="H5" s="192" t="n">
        <ns0:f>ROUND(C5*16%,2)+ROUND(C5*9.5%,2)+ROUND(C5*0.5%,2)</ns0:f>
        <ns0:v>6333.39</ns0:v>
      </ns0:c>
      <ns0:c r="I5" s="192" t="n">
        <ns0:f>H5-G5</ns0:f>
        <ns0:v>5037.030000000001</ns0:v>
      </ns0:c>
      <ns0:c r="J5" s="216" t="str">
        <ns0:v>沿原有4986元基数口径；以正式缴费流水核对。</ns0:v>
      </ns0:c>
      <ns0:c r="K5"/>
    </ns0:row>
    <ns0:row r="6" ht="66" customHeight="1">
      <ns0:c r="A6" s="191" t="str">
        <ns0:v>2026-04</ns0:v>
      </ns0:c>
      <ns0:c r="B6" s="192" t="n">
        <ns0:f>'核算总览'!$B$6</ns0:f>
        <ns0:v>4986</ns0:v>
      </ns0:c>
      <ns0:c r="C6" s="192" t="n">
        <ns0:f>'核算总览'!$B$5</ns0:f>
        <ns0:v>24359.178888888888</ns0:v>
      </ns0:c>
      <ns0:c r="D6" s="192"/>
      <ns0:c r="E6" s="192"/>
      <ns0:c r="F6" s="192"/>
      <ns0:c r="G6" s="192" t="n">
        <ns0:f>ROUND(B6*16%,2)+ROUND(B6*9.5%,2)+ROUND(B6*0.5%,2)</ns0:f>
        <ns0:v>1296.3600000000001</ns0:v>
      </ns0:c>
      <ns0:c r="H6" s="192" t="n">
        <ns0:f>ROUND(C6*16%,2)+ROUND(C6*9.5%,2)+ROUND(C6*0.5%,2)</ns0:f>
        <ns0:v>6333.39</ns0:v>
      </ns0:c>
      <ns0:c r="I6" s="192" t="n">
        <ns0:f>H6-G6</ns0:f>
        <ns0:v>5037.030000000001</ns0:v>
      </ns0:c>
      <ns0:c r="J6" s="216" t="str">
        <ns0:v>沿原有4986元基数口径；以正式缴费流水核对。</ns0:v>
      </ns0:c>
      <ns0:c r="K6"/>
    </ns0:row>
    <ns0:row r="7" ht="66" customHeight="1">
      <ns0:c r="A7" s="191" t="str">
        <ns0:v>2026-05</ns0:v>
      </ns0:c>
      <ns0:c r="B7" s="192" t="n">
        <ns0:f>'核算总览'!$B$6</ns0:f>
        <ns0:v>4986</ns0:v>
      </ns0:c>
      <ns0:c r="C7" s="192" t="n">
        <ns0:f>'核算总览'!$B$5</ns0:f>
        <ns0:v>24359.178888888888</ns0:v>
      </ns0:c>
      <ns0:c r="D7" s="192"/>
      <ns0:c r="E7" s="192"/>
      <ns0:c r="F7" s="192"/>
      <ns0:c r="G7" s="192" t="n">
        <ns0:f>ROUND(B7*16%,2)+ROUND(B7*9.5%,2)+ROUND(B7*0.5%,2)</ns0:f>
        <ns0:v>1296.3600000000001</ns0:v>
      </ns0:c>
      <ns0:c r="H7" s="192" t="n">
        <ns0:f>ROUND(C7*16%,2)+ROUND(C7*9.5%,2)+ROUND(C7*0.5%,2)</ns0:f>
        <ns0:v>6333.39</ns0:v>
      </ns0:c>
      <ns0:c r="I7" s="192" t="n">
        <ns0:f>H7-G7</ns0:f>
        <ns0:v>5037.030000000001</ns0:v>
      </ns0:c>
      <ns0:c r="J7" s="216" t="str">
        <ns0:v>沿原有4986元基数口径；以正式缴费流水核对。</ns0:v>
      </ns0:c>
      <ns0:c r="K7"/>
    </ns0:row>
    <ns0:row r="8" ht="66" customHeight="1">
      <ns0:c r="A8" s="191" t="str">
        <ns0:v>2026-06</ns0:v>
      </ns0:c>
      <ns0:c r="B8" s="192" t="n">
        <ns0:f>'核算总览'!$B$6</ns0:f>
        <ns0:v>4986</ns0:v>
      </ns0:c>
      <ns0:c r="C8" s="192" t="n">
        <ns0:f>'核算总览'!$B$5</ns0:f>
        <ns0:v>24359.178888888888</ns0:v>
      </ns0:c>
      <ns0:c r="D8" s="192"/>
      <ns0:c r="E8" s="192"/>
      <ns0:c r="F8" s="192"/>
      <ns0:c r="G8" s="192" t="n">
        <ns0:f>ROUND(B8*16%,2)+ROUND(B8*9.5%,2)+ROUND(B8*0.5%,2)</ns0:f>
        <ns0:v>1296.3600000000001</ns0:v>
      </ns0:c>
      <ns0:c r="H8" s="192" t="n">
        <ns0:f>ROUND(C8*16%,2)+ROUND(C8*9.5%,2)+ROUND(C8*0.5%,2)</ns0:f>
        <ns0:v>6333.39</ns0:v>
      </ns0:c>
      <ns0:c r="I8" s="192" t="n">
        <ns0:f>H8-G8</ns0:f>
        <ns0:v>5037.030000000001</ns0:v>
      </ns0:c>
      <ns0:c r="J8" s="216" t="str">
        <ns0:v>沿原有4986元基数口径；以正式缴费流水核对。</ns0:v>
      </ns0:c>
      <ns0:c r="K8"/>
    </ns0:row>
    <ns0:row r="9" ht="66" customHeight="1">
      <ns0:c r="A9" s="191" t="str">
        <ns0:v>2026-07</ns0:v>
      </ns0:c>
      <ns0:c r="B9" s="192" t="n">
        <ns0:f>'核算总览'!$B$6</ns0:f>
        <ns0:v>4986</ns0:v>
      </ns0:c>
      <ns0:c r="C9" s="192" t="n">
        <ns0:f>'核算总览'!$B$5</ns0:f>
        <ns0:v>24359.178888888888</ns0:v>
      </ns0:c>
      <ns0:c r="D9" s="192"/>
      <ns0:c r="E9" s="192"/>
      <ns0:c r="F9" s="192"/>
      <ns0:c r="G9" s="192" t="n">
        <ns0:f>ROUND(B9*16%,2)+ROUND(B9*9.5%,2)+ROUND(B9*0.5%,2)</ns0:f>
        <ns0:v>1296.3600000000001</ns0:v>
      </ns0:c>
      <ns0:c r="H9" s="192" t="n">
        <ns0:f>ROUND(C9*16%,2)+ROUND(C9*9.5%,2)+ROUND(C9*0.5%,2)</ns0:f>
        <ns0:v>6333.39</ns0:v>
      </ns0:c>
      <ns0:c r="I9" s="192" t="n">
        <ns0:f>H9-G9</ns0:f>
        <ns0:v>5037.030000000001</ns0:v>
      </ns0:c>
      <ns0:c r="J9" s="216" t="str">
        <ns0:v>沿原有4986元基数口径；以正式缴费流水核对。</ns0:v>
      </ns0:c>
      <ns0:c r="K9"/>
    </ns0:row>
    <ns0:row r="10" ht="66" customHeight="1">
      <ns0:c r="A10" s="191" t="str">
        <ns0:v>2026-08</ns0:v>
      </ns0:c>
      <ns0:c r="B10" s="192" t="n">
        <ns0:f>'核算总览'!$B$6</ns0:f>
        <ns0:v>4986</ns0:v>
      </ns0:c>
      <ns0:c r="C10" s="192" t="n">
        <ns0:f>'核算总览'!$B$5</ns0:f>
        <ns0:v>24359.178888888888</ns0:v>
      </ns0:c>
      <ns0:c r="D10" s="192"/>
      <ns0:c r="E10" s="192"/>
      <ns0:c r="F10" s="192"/>
      <ns0:c r="G10" s="192" t="n">
        <ns0:f>ROUND(B10*16%,2)+ROUND(B10*9.5%,2)+ROUND(B10*0.5%,2)</ns0:f>
        <ns0:v>1296.3600000000001</ns0:v>
      </ns0:c>
      <ns0:c r="H10" s="192" t="n">
        <ns0:f>ROUND(C10*16%,2)+ROUND(C10*9.5%,2)+ROUND(C10*0.5%,2)</ns0:f>
        <ns0:v>6333.39</ns0:v>
      </ns0:c>
      <ns0:c r="I10" s="192" t="n">
        <ns0:f>H10-G10</ns0:f>
        <ns0:v>5037.030000000001</ns0:v>
      </ns0:c>
      <ns0:c r="J10" s="216" t="str">
        <ns0:v>沿原有4986元基数口径；以正式缴费流水核对。</ns0:v>
      </ns0:c>
      <ns0:c r="K10"/>
    </ns0:row>
    <ns0:row r="11" ht="66" customHeight="1">
      <ns0:c r="A11" s="191" t="str">
        <ns0:v>2026-09</ns0:v>
      </ns0:c>
      <ns0:c r="B11" s="192" t="n">
        <ns0:f>'核算总览'!$B$6</ns0:f>
        <ns0:v>4986</ns0:v>
      </ns0:c>
      <ns0:c r="C11" s="192" t="n">
        <ns0:f>'核算总览'!$B$5</ns0:f>
        <ns0:v>24359.178888888888</ns0:v>
      </ns0:c>
      <ns0:c r="D11" s="192"/>
      <ns0:c r="E11" s="192"/>
      <ns0:c r="F11" s="192"/>
      <ns0:c r="G11" s="192" t="n">
        <ns0:f>ROUND(B11*16%,2)+ROUND(B11*9.5%,2)+ROUND(B11*0.5%,2)</ns0:f>
        <ns0:v>1296.3600000000001</ns0:v>
      </ns0:c>
      <ns0:c r="H11" s="192" t="n">
        <ns0:f>ROUND(C11*16%,2)+ROUND(C11*9.5%,2)+ROUND(C11*0.5%,2)</ns0:f>
        <ns0:v>6333.39</ns0:v>
      </ns0:c>
      <ns0:c r="I11" s="192" t="n">
        <ns0:f>H11-G11</ns0:f>
        <ns0:v>5037.030000000001</ns0:v>
      </ns0:c>
      <ns0:c r="J11" s="216" t="str">
        <ns0:v>沿原有4986元基数口径；以正式缴费流水核对。</ns0:v>
      </ns0:c>
      <ns0:c r="K11"/>
    </ns0:row>
    <ns0:row r="12" ht="66" customHeight="1">
      <ns0:c r="A12" s="191" t="str">
        <ns0:v>2026-10</ns0:v>
      </ns0:c>
      <ns0:c r="B12" s="192" t="n">
        <ns0:f>'核算总览'!$B$6</ns0:f>
        <ns0:v>4986</ns0:v>
      </ns0:c>
      <ns0:c r="C12" s="192" t="n">
        <ns0:f>'核算总览'!$B$5</ns0:f>
        <ns0:v>24359.178888888888</ns0:v>
      </ns0:c>
      <ns0:c r="D12" s="192"/>
      <ns0:c r="E12" s="192"/>
      <ns0:c r="F12" s="192"/>
      <ns0:c r="G12" s="192" t="n">
        <ns0:f>ROUND(B12*16%,2)+ROUND(B12*9.5%,2)+ROUND(B12*0.5%,2)</ns0:f>
        <ns0:v>1296.3600000000001</ns0:v>
      </ns0:c>
      <ns0:c r="H12" s="192" t="n">
        <ns0:f>ROUND(C12*16%,2)+ROUND(C12*9.5%,2)+ROUND(C12*0.5%,2)</ns0:f>
        <ns0:v>6333.39</ns0:v>
      </ns0:c>
      <ns0:c r="I12" s="192" t="n">
        <ns0:f>H12-G12</ns0:f>
        <ns0:v>5037.030000000001</ns0:v>
      </ns0:c>
      <ns0:c r="J12" s="216" t="str">
        <ns0:v>沿原有4986元基数口径；以正式缴费流水核对。</ns0:v>
      </ns0:c>
      <ns0:c r="K12"/>
    </ns0:row>
    <ns0:row r="13" ht="66" customHeight="1">
      <ns0:c r="A13" s="191" t="str">
        <ns0:v>2026-11</ns0:v>
      </ns0:c>
      <ns0:c r="B13" s="192" t="n">
        <ns0:v>0</ns0:v>
      </ns0:c>
      <ns0:c r="C13" s="192" t="n">
        <ns0:f>'核算总览'!$B$5</ns0:f>
        <ns0:v>24359.178888888888</ns0:v>
      </ns0:c>
      <ns0:c r="D13" s="192"/>
      <ns0:c r="E13" s="192"/>
      <ns0:c r="F13" s="192"/>
      <ns0:c r="G13" s="192" t="n">
        <ns0:f>ROUND(B13*16%,2)+ROUND(B13*9.5%,2)+ROUND(B13*0.5%,2)</ns0:f>
        <ns0:v>0</ns0:v>
      </ns0:c>
      <ns0:c r="H13" s="192" t="n">
        <ns0:f>ROUND(C13*16%,2)+ROUND(C13*9.5%,2)+ROUND(C13*0.5%,2)</ns0:f>
        <ns0:v>6333.39</ns0:v>
      </ns0:c>
      <ns0:c r="I13" s="192" t="n">
        <ns0:f>H13-G13</ns0:f>
        <ns0:v>6333.39</ns0:v>
      </ns0:c>
      <ns0:c r="J13" s="216" t="str">
        <ns0:v>11月单位尚未缴纳，已缴金额为0元。</ns0:v>
      </ns0:c>
      <ns0:c r="K13"/>
    </ns0:row>
    <ns0:row r="14">
      <ns0:c r="A14" s="205"/>
      <ns0:c r="B14" s="205"/>
      <ns0:c r="C14" s="205"/>
      <ns0:c r="D14" s="205"/>
      <ns0:c r="E14" s="205"/>
      <ns0:c r="F14" s="205"/>
      <ns0:c r="G14" s="205"/>
      <ns0:c r="H14" s="205"/>
      <ns0:c r="I14" s="205"/>
      <ns0:c r="J14" s="205"/>
      <ns0:c r="K14"/>
    </ns0:row>
    <ns0:row r="15" ht="36" customHeight="1">
      <ns0:c r="A15" s="414" t="str">
        <ns0:v>试算合计</ns0:v>
      </ns0:c>
      <ns0:c r="B15" s="414"/>
      <ns0:c r="C15" s="414"/>
      <ns0:c r="D15" s="414"/>
      <ns0:c r="E15" s="414"/>
      <ns0:c r="F15" s="414"/>
      <ns0:c r="G15" s="415" t="n">
        <ns0:f>SUM(G2:G13)</ns0:f>
        <ns0:v>12963.600000000004</ns0:v>
      </ns0:c>
      <ns0:c r="H15" s="415" t="n">
        <ns0:f>SUM(H2:H13)</ns0:f>
        <ns0:v>76000.68000000001</ns0:v>
      </ns0:c>
      <ns0:c r="I15" s="415" t="n">
        <ns0:f>SUM(I2:I13)</ns0:f>
        <ns0:v>63037.079999999994</ns0:v>
      </ns0:c>
      <ns0:c r="J15" s="414"/>
      <ns0:c r="K15"/>
    </ns0:row>
    <ns0:row r="17" ht="90" customHeight="1">
      <ns0:c r="A17" s="410" t="str">
        <ns0:v>2025年12月至2026年11月共12个月；养老16%、医保含生育9.5%、失业0.5%；工伤费率待核实，未计。2025年12月及2026年11月单位尚未缴纳，已缴金额为0元；入职月适用基数待核定。</ns0:v>
      </ns0:c>
      <ns0:c r="B17" s="410"/>
      <ns0:c r="C17" s="410"/>
      <ns0:c r="D17" s="410"/>
      <ns0:c r="E17" s="410"/>
      <ns0:c r="F17" s="410"/>
      <ns0:c r="G17" s="410"/>
      <ns0:c r="H17" s="410"/>
      <ns0:c r="I17" s="410"/>
      <ns0:c r="J17" s="410"/>
    </ns0:row>
  </ns0:sheetData>
  <ns0:mergeCells>
    <ns0:mergeCell ref="A17:J17"/>
  </ns0:mergeCells>
  <ns0:pageMargins left="0.7" right="0.7" top="0.75" bottom="0.75" header="0.3" footer="0.3"/>
</ns0:worksheet>
</file>

<file path=xl/worksheets/sheet17.xml><?xml version="1.0" encoding="utf-8"?>
<ns0:worksheet xmlns:ns0="http://schemas.openxmlformats.org/spreadsheetml/2006/main">
  <ns0:sheetViews>
    <ns0:sheetView showGridLines="0" workbookViewId="0">
      <ns0:pane ySplit="1" topLeftCell="A2" activePane="bottomLeft" state="frozen"/>
    </ns0:sheetView>
  </ns0:sheetViews>
  <ns0:sheetFormatPr defaultRowHeight="15"/>
  <ns0:cols>
    <ns0:col min="1" max="1" width="13" hidden="0" customWidth="1"/>
    <ns0:col min="2" max="2" width="26" hidden="0" customWidth="1"/>
    <ns0:col min="3" max="3" width="18" hidden="0" customWidth="1"/>
    <ns0:col min="4" max="4" width="17" hidden="0" customWidth="1"/>
    <ns0:col min="5" max="5" width="17" hidden="0" customWidth="1"/>
    <ns0:col min="6" max="6" width="18" hidden="0" customWidth="1"/>
    <ns0:col min="7" max="7" width="17" hidden="0" customWidth="1"/>
    <ns0:col min="8" max="8" width="17" hidden="0" customWidth="1"/>
    <ns0:col min="9" max="9" width="20" hidden="0" customWidth="1"/>
    <ns0:col min="10" max="10" width="48" hidden="0" customWidth="1"/>
  </ns0:cols>
  <ns0:sheetData>
    <ns0:row r="1" ht="30" customHeight="1">
      <ns0:c r="A1" s="190" t="str">
        <ns0:v>月份</ns0:v>
      </ns0:c>
      <ns0:c r="B1" s="190" t="str">
        <ns0:v>单位已缴额</ns0:v>
      </ns0:c>
      <ns0:c r="C1" s="190" t="str">
        <ns0:v>目标缴存基数</ns0:v>
      </ns0:c>
      <ns0:c r="D1" s="190"/>
      <ns0:c r="E1" s="190"/>
      <ns0:c r="F1" s="190" t="str">
        <ns0:v>单位已缴额</ns0:v>
      </ns0:c>
      <ns0:c r="G1" s="190" t="str">
        <ns0:v>单位应缴5%</ns0:v>
      </ns0:c>
      <ns0:c r="H1" s="190" t="str">
        <ns0:v>单位补缴</ns0:v>
      </ns0:c>
      <ns0:c r="I1" s="190"/>
      <ns0:c r="J1"/>
    </ns0:row>
    <ns0:row r="2" ht="30" customHeight="1">
      <ns0:c r="A2" s="191" t="str">
        <ns0:v>2026-01</ns0:v>
      </ns0:c>
      <ns0:c r="B2" s="192" t="n">
        <ns0:v>125</ns0:v>
      </ns0:c>
      <ns0:c r="C2" s="192" t="n">
        <ns0:f>'核算总览'!$B$5</ns0:f>
        <ns0:v>24359.178888888888</ns0:v>
      </ns0:c>
      <ns0:c r="D2" s="192"/>
      <ns0:c r="E2" s="192"/>
      <ns0:c r="F2" s="192" t="n">
        <ns0:f>B2</ns0:f>
        <ns0:v>125</ns0:v>
      </ns0:c>
      <ns0:c r="G2" s="192" t="n">
        <ns0:f>ROUND(C2*'核算总览'!$B$7,0)</ns0:f>
        <ns0:v>1218</ns0:v>
      </ns0:c>
      <ns0:c r="H2" s="192" t="n">
        <ns0:f>G2-F2</ns0:f>
        <ns0:v>1093</ns0:v>
      </ns0:c>
      <ns0:c r="I2" s="192"/>
      <ns0:c r="J2"/>
    </ns0:row>
    <ns0:row r="3" ht="30" customHeight="1">
      <ns0:c r="A3" s="191" t="str">
        <ns0:v>2026-02</ns0:v>
      </ns0:c>
      <ns0:c r="B3" s="192" t="n">
        <ns0:v>125</ns0:v>
      </ns0:c>
      <ns0:c r="C3" s="192" t="n">
        <ns0:f>'核算总览'!$B$5</ns0:f>
        <ns0:v>24359.178888888888</ns0:v>
      </ns0:c>
      <ns0:c r="D3" s="192"/>
      <ns0:c r="E3" s="192"/>
      <ns0:c r="F3" s="192" t="n">
        <ns0:f>B3</ns0:f>
        <ns0:v>125</ns0:v>
      </ns0:c>
      <ns0:c r="G3" s="192" t="n">
        <ns0:f>ROUND(C3*'核算总览'!$B$7,0)</ns0:f>
        <ns0:v>1218</ns0:v>
      </ns0:c>
      <ns0:c r="H3" s="192" t="n">
        <ns0:f>G3-F3</ns0:f>
        <ns0:v>1093</ns0:v>
      </ns0:c>
      <ns0:c r="I3" s="192"/>
      <ns0:c r="J3"/>
    </ns0:row>
    <ns0:row r="4" ht="30" customHeight="1">
      <ns0:c r="A4" s="191" t="str">
        <ns0:v>2026-03</ns0:v>
      </ns0:c>
      <ns0:c r="B4" s="192" t="n">
        <ns0:v>125</ns0:v>
      </ns0:c>
      <ns0:c r="C4" s="192" t="n">
        <ns0:f>'核算总览'!$B$5</ns0:f>
        <ns0:v>24359.178888888888</ns0:v>
      </ns0:c>
      <ns0:c r="D4" s="192"/>
      <ns0:c r="E4" s="192"/>
      <ns0:c r="F4" s="192" t="n">
        <ns0:f>B4</ns0:f>
        <ns0:v>125</ns0:v>
      </ns0:c>
      <ns0:c r="G4" s="192" t="n">
        <ns0:f>ROUND(C4*'核算总览'!$B$7,0)</ns0:f>
        <ns0:v>1218</ns0:v>
      </ns0:c>
      <ns0:c r="H4" s="192" t="n">
        <ns0:f>G4-F4</ns0:f>
        <ns0:v>1093</ns0:v>
      </ns0:c>
      <ns0:c r="I4" s="192"/>
      <ns0:c r="J4"/>
    </ns0:row>
    <ns0:row r="5" ht="30" customHeight="1">
      <ns0:c r="A5" s="191" t="str">
        <ns0:v>2026-04</ns0:v>
      </ns0:c>
      <ns0:c r="B5" s="192" t="n">
        <ns0:v>125</ns0:v>
      </ns0:c>
      <ns0:c r="C5" s="192" t="n">
        <ns0:f>'核算总览'!$B$5</ns0:f>
        <ns0:v>24359.178888888888</ns0:v>
      </ns0:c>
      <ns0:c r="D5" s="192"/>
      <ns0:c r="E5" s="192"/>
      <ns0:c r="F5" s="192" t="n">
        <ns0:f>B5</ns0:f>
        <ns0:v>125</ns0:v>
      </ns0:c>
      <ns0:c r="G5" s="192" t="n">
        <ns0:f>ROUND(C5*'核算总览'!$B$7,0)</ns0:f>
        <ns0:v>1218</ns0:v>
      </ns0:c>
      <ns0:c r="H5" s="192" t="n">
        <ns0:f>G5-F5</ns0:f>
        <ns0:v>1093</ns0:v>
      </ns0:c>
      <ns0:c r="I5" s="192"/>
      <ns0:c r="J5"/>
    </ns0:row>
    <ns0:row r="6" ht="30" customHeight="1">
      <ns0:c r="A6" s="191" t="str">
        <ns0:v>2026-05</ns0:v>
      </ns0:c>
      <ns0:c r="B6" s="192" t="n">
        <ns0:v>125</ns0:v>
      </ns0:c>
      <ns0:c r="C6" s="192" t="n">
        <ns0:f>'核算总览'!$B$5</ns0:f>
        <ns0:v>24359.178888888888</ns0:v>
      </ns0:c>
      <ns0:c r="D6" s="192"/>
      <ns0:c r="E6" s="192"/>
      <ns0:c r="F6" s="192" t="n">
        <ns0:f>B6</ns0:f>
        <ns0:v>125</ns0:v>
      </ns0:c>
      <ns0:c r="G6" s="192" t="n">
        <ns0:f>ROUND(C6*'核算总览'!$B$7,0)</ns0:f>
        <ns0:v>1218</ns0:v>
      </ns0:c>
      <ns0:c r="H6" s="192" t="n">
        <ns0:f>G6-F6</ns0:f>
        <ns0:v>1093</ns0:v>
      </ns0:c>
      <ns0:c r="I6" s="192"/>
      <ns0:c r="J6"/>
    </ns0:row>
    <ns0:row r="7" ht="30" customHeight="1">
      <ns0:c r="A7" s="191" t="str">
        <ns0:v>2026-06</ns0:v>
      </ns0:c>
      <ns0:c r="B7" s="192" t="n">
        <ns0:v>125</ns0:v>
      </ns0:c>
      <ns0:c r="C7" s="192" t="n">
        <ns0:f>'核算总览'!$B$5</ns0:f>
        <ns0:v>24359.178888888888</ns0:v>
      </ns0:c>
      <ns0:c r="D7" s="192"/>
      <ns0:c r="E7" s="192"/>
      <ns0:c r="F7" s="192" t="n">
        <ns0:f>B7</ns0:f>
        <ns0:v>125</ns0:v>
      </ns0:c>
      <ns0:c r="G7" s="192" t="n">
        <ns0:f>ROUND(C7*'核算总览'!$B$7,0)</ns0:f>
        <ns0:v>1218</ns0:v>
      </ns0:c>
      <ns0:c r="H7" s="192" t="n">
        <ns0:f>G7-F7</ns0:f>
        <ns0:v>1093</ns0:v>
      </ns0:c>
      <ns0:c r="I7" s="192"/>
      <ns0:c r="J7"/>
    </ns0:row>
    <ns0:row r="8" ht="30" customHeight="1">
      <ns0:c r="A8" s="191" t="str">
        <ns0:v>2026-07</ns0:v>
      </ns0:c>
      <ns0:c r="B8" s="192" t="n">
        <ns0:v>133</ns0:v>
      </ns0:c>
      <ns0:c r="C8" s="192" t="n">
        <ns0:f>'核算总览'!$B$5</ns0:f>
        <ns0:v>24359.178888888888</ns0:v>
      </ns0:c>
      <ns0:c r="D8" s="192"/>
      <ns0:c r="E8" s="192"/>
      <ns0:c r="F8" s="192" t="n">
        <ns0:f>B8</ns0:f>
        <ns0:v>133</ns0:v>
      </ns0:c>
      <ns0:c r="G8" s="192" t="n">
        <ns0:f>ROUND(C8*'核算总览'!$B$7,0)</ns0:f>
        <ns0:v>1218</ns0:v>
      </ns0:c>
      <ns0:c r="H8" s="192" t="n">
        <ns0:f>G8-F8</ns0:f>
        <ns0:v>1085</ns0:v>
      </ns0:c>
      <ns0:c r="I8" s="192"/>
      <ns0:c r="J8"/>
    </ns0:row>
    <ns0:row r="9" ht="30" customHeight="1">
      <ns0:c r="A9" s="191" t="str">
        <ns0:v>2026-08</ns0:v>
      </ns0:c>
      <ns0:c r="B9" s="192" t="n">
        <ns0:v>133</ns0:v>
      </ns0:c>
      <ns0:c r="C9" s="192" t="n">
        <ns0:f>'核算总览'!$B$5</ns0:f>
        <ns0:v>24359.178888888888</ns0:v>
      </ns0:c>
      <ns0:c r="D9" s="192"/>
      <ns0:c r="E9" s="192"/>
      <ns0:c r="F9" s="192" t="n">
        <ns0:f>B9</ns0:f>
        <ns0:v>133</ns0:v>
      </ns0:c>
      <ns0:c r="G9" s="192" t="n">
        <ns0:f>ROUND(C9*'核算总览'!$B$7,0)</ns0:f>
        <ns0:v>1218</ns0:v>
      </ns0:c>
      <ns0:c r="H9" s="192" t="n">
        <ns0:f>G9-F9</ns0:f>
        <ns0:v>1085</ns0:v>
      </ns0:c>
      <ns0:c r="I9" s="192"/>
      <ns0:c r="J9"/>
    </ns0:row>
    <ns0:row r="10" ht="30" customHeight="1">
      <ns0:c r="A10" s="191" t="str">
        <ns0:v>2026-09</ns0:v>
      </ns0:c>
      <ns0:c r="B10" s="192" t="n">
        <ns0:v>133</ns0:v>
      </ns0:c>
      <ns0:c r="C10" s="192" t="n">
        <ns0:f>'核算总览'!$B$5</ns0:f>
        <ns0:v>24359.178888888888</ns0:v>
      </ns0:c>
      <ns0:c r="D10" s="192"/>
      <ns0:c r="E10" s="192"/>
      <ns0:c r="F10" s="192" t="n">
        <ns0:f>B10</ns0:f>
        <ns0:v>133</ns0:v>
      </ns0:c>
      <ns0:c r="G10" s="192" t="n">
        <ns0:f>ROUND(C10*'核算总览'!$B$7,0)</ns0:f>
        <ns0:v>1218</ns0:v>
      </ns0:c>
      <ns0:c r="H10" s="192" t="n">
        <ns0:f>G10-F10</ns0:f>
        <ns0:v>1085</ns0:v>
      </ns0:c>
      <ns0:c r="I10" s="192"/>
      <ns0:c r="J10"/>
    </ns0:row>
    <ns0:row r="11" ht="30" customHeight="1">
      <ns0:c r="A11" s="191" t="str">
        <ns0:v>2026-10</ns0:v>
      </ns0:c>
      <ns0:c r="B11" s="192" t="n">
        <ns0:f>'核算总览'!$B$8</ns0:f>
        <ns0:v>133</ns0:v>
      </ns0:c>
      <ns0:c r="C11" s="192" t="n">
        <ns0:f>'核算总览'!$B$5</ns0:f>
        <ns0:v>24359.178888888888</ns0:v>
      </ns0:c>
      <ns0:c r="D11" s="192"/>
      <ns0:c r="E11" s="192"/>
      <ns0:c r="F11" s="192" t="n">
        <ns0:f>B11</ns0:f>
        <ns0:v>133</ns0:v>
      </ns0:c>
      <ns0:c r="G11" s="192" t="n">
        <ns0:f>ROUND(C11*'核算总览'!$B$7,0)</ns0:f>
        <ns0:v>1218</ns0:v>
      </ns0:c>
      <ns0:c r="H11" s="192" t="n">
        <ns0:f>G11-F11</ns0:f>
        <ns0:v>1085</ns0:v>
      </ns0:c>
      <ns0:c r="I11" s="192"/>
      <ns0:c r="J11"/>
    </ns0:row>
    <ns0:row r="12">
      <ns0:c r="A12" s="191" t="str">
        <ns0:v>2026-11</ns0:v>
      </ns0:c>
      <ns0:c r="B12" s="192" t="n">
        <ns0:v>0</ns0:v>
      </ns0:c>
      <ns0:c r="C12" s="192" t="n">
        <ns0:f>'核算总览'!$B$5</ns0:f>
        <ns0:v>24359.178888888888</ns0:v>
      </ns0:c>
      <ns0:c r="D12" s="192"/>
      <ns0:c r="E12" s="192"/>
      <ns0:c r="F12" s="192" t="n">
        <ns0:f>B12</ns0:f>
        <ns0:v>0</ns0:v>
      </ns0:c>
      <ns0:c r="G12" s="192" t="n">
        <ns0:f>ROUND(C12*'核算总览'!$B$7,0)</ns0:f>
        <ns0:v>1218</ns0:v>
      </ns0:c>
      <ns0:c r="H12" s="192" t="n">
        <ns0:f>G12-F12</ns0:f>
        <ns0:v>1218</ns0:v>
      </ns0:c>
      <ns0:c r="I12" s="225"/>
      <ns0:c r="J12"/>
    </ns0:row>
    <ns0:row r="13" ht="30" customHeight="1">
      <ns0:c r="A13" s="211"/>
      <ns0:c r="B13" s="212"/>
      <ns0:c r="C13" s="212"/>
      <ns0:c r="D13" s="212"/>
      <ns0:c r="E13" s="212"/>
      <ns0:c r="F13" s="212"/>
      <ns0:c r="G13" s="212"/>
      <ns0:c r="H13" s="212"/>
      <ns0:c r="I13" s="212"/>
      <ns0:c r="J13"/>
    </ns0:row>
    <ns0:row r="14" ht="36" customHeight="1">
      <ns0:c r="A14" s="418" t="str">
        <ns0:v>试算合计</ns0:v>
      </ns0:c>
      <ns0:c r="B14" s="419" t="n">
        <ns0:f>SUM(B2:B12)</ns0:f>
        <ns0:v>1282</ns0:v>
      </ns0:c>
      <ns0:c r="C14" s="419"/>
      <ns0:c r="D14" s="419"/>
      <ns0:c r="E14" s="419"/>
      <ns0:c r="F14" s="419" t="n">
        <ns0:f>SUM(F2:F12)</ns0:f>
        <ns0:v>1282</ns0:v>
      </ns0:c>
      <ns0:c r="G14" s="419" t="n">
        <ns0:f>SUM(G2:G12)</ns0:f>
        <ns0:v>13398</ns0:v>
      </ns0:c>
      <ns0:c r="H14" s="419" t="n">
        <ns0:f>SUM(H2:H12)</ns0:f>
        <ns0:v>12116</ns0:v>
      </ns0:c>
      <ns0:c r="I14" s="205"/>
      <ns0:c r="J14"/>
    </ns0:row>
    <ns0:row r="15" ht="50" customHeight="1">
      <ns0:c r="A15" s="226"/>
      <ns0:c r="B15" s="226"/>
      <ns0:c r="C15" s="226"/>
      <ns0:c r="D15" s="226"/>
      <ns0:c r="E15" s="226"/>
      <ns0:c r="F15" s="226"/>
      <ns0:c r="G15" s="226"/>
      <ns0:c r="H15" s="226"/>
      <ns0:c r="I15" s="226"/>
      <ns0:c r="J15"/>
    </ns0:row>
    <ns0:row r="16" ht="90" customHeight="1">
      <ns0:c r="A16" s="410" t="str">
        <ns0:v>2026年1—11月共11个月；1—6月单位已缴125元、7—9月133元；10月暂按133元，待流水核对。11月单位尚未缴纳，已缴金额为0元。单位应缴按目标基数×5%取整。</ns0:v>
      </ns0:c>
      <ns0:c r="B16" s="410"/>
      <ns0:c r="C16" s="410"/>
      <ns0:c r="D16" s="410"/>
      <ns0:c r="E16" s="410"/>
      <ns0:c r="F16" s="410"/>
      <ns0:c r="G16" s="410"/>
      <ns0:c r="H16" s="410"/>
    </ns0:row>
  </ns0:sheetData>
  <ns0:mergeCells>
    <ns0:mergeCell ref="A16:H16"/>
  </ns0:mergeCells>
  <ns0:pageMargins left="0.7" right="0.7" top="0.75" bottom="0.75" header="0.3" footer="0.3"/>
</ns0:worksheet>
</file>

<file path=xl/worksheets/sheet18.xml><?xml version="1.0" encoding="utf-8"?>
<ns0:worksheet xmlns:ns0="http://schemas.openxmlformats.org/spreadsheetml/2006/main">
  <ns0:sheetViews>
    <ns0:sheetView showGridLines="0" workbookViewId="0">
      <ns0:pane ySplit="2" topLeftCell="A3" activePane="bottomLeft" state="frozen"/>
    </ns0:sheetView>
  </ns0:sheetViews>
  <ns0:sheetFormatPr defaultRowHeight="15"/>
  <ns0:cols>
    <ns0:col min="1" max="1" width="55" hidden="0" customWidth="1"/>
    <ns0:col min="2" max="2" width="24" hidden="0" customWidth="1"/>
    <ns0:col min="3" max="3" width="24" hidden="0" customWidth="1"/>
    <ns0:col min="4" max="4" width="14" hidden="0" customWidth="1"/>
    <ns0:col min="5" max="5" width="14" hidden="0" customWidth="1"/>
  </ns0:cols>
  <ns0:sheetData>
    <ns0:row r="1" ht="42" customHeight="1">
      <ns0:c r="A1" s="204" t="str">
        <ns0:v>计算源｜加班工资、工资补偿及单位补缴参数与计算</ns0:v>
      </ns0:c>
      <ns0:c r="B1" s="204"/>
      <ns0:c r="C1" s="204"/>
      <ns0:c r="D1" s="204"/>
      <ns0:c r="E1" s="204"/>
    </ns0:row>
    <ns0:row r="2">
      <ns0:c r="A2" s="205" t="str">
        <ns0:v>核算截止日期</ns0:v>
      </ns0:c>
      <ns0:c r="B2" s="400" t="n">
        <ns0:f>DATE(2026,11,4)</ns0:f>
        <ns0:v>46330</ns0:v>
      </ns0:c>
      <ns0:c r="C2" s="205"/>
      <ns0:c r="D2" s="205"/>
      <ns0:c r="E2" s="205"/>
    </ns0:row>
    <ns0:row r="3">
      <ns0:c r="A3" s="206" t="str">
        <ns0:v>统一月平均税前工资基数（2026年1—9月）</ns0:v>
      </ns0:c>
      <ns0:c r="B3" s="207" t="n">
        <ns0:f>B5</ns0:f>
        <ns0:v>24359.178888888888</ns0:v>
      </ns0:c>
      <ns0:c r="C3" s="205"/>
      <ns0:c r="D3" s="205"/>
      <ns0:c r="E3" s="205"/>
    </ns0:row>
    <ns0:row r="4">
      <ns0:c r="A4" s="206"/>
      <ns0:c r="B4" s="207"/>
      <ns0:c r="C4" s="205"/>
      <ns0:c r="D4" s="205"/>
      <ns0:c r="E4" s="205"/>
    </ns0:row>
    <ns0:row r="5">
      <ns0:c r="A5" s="206" t="str">
        <ns0:v>2026年1—9月完整月份税前工资平均值</ns0:v>
      </ns0:c>
      <ns0:c r="B5" s="208" t="n">
        <ns0:f>AVERAGE('工资单转录'!B4:B12)</ns0:f>
        <ns0:v>24359.178888888888</ns0:v>
      </ns0:c>
      <ns0:c r="C5" s="205"/>
      <ns0:c r="D5" s="205"/>
      <ns0:c r="E5" s="205"/>
    </ns0:row>
    <ns0:row r="6">
      <ns0:c r="A6" s="206" t="str">
        <ns0:v>2026年1—10月历史已缴社保基数（4986元）</ns0:v>
      </ns0:c>
      <ns0:c r="B6" s="207" t="n">
        <ns0:v>4986</ns0:v>
      </ns0:c>
      <ns0:c r="C6" s="205"/>
      <ns0:c r="D6" s="205"/>
      <ns0:c r="E6" s="205"/>
    </ns0:row>
    <ns0:row r="7">
      <ns0:c r="A7" s="206" t="str">
        <ns0:v>公积金最低缴存比例（单位）</ns0:v>
      </ns0:c>
      <ns0:c r="B7" s="209" t="n">
        <ns0:v>0.05</ns0:v>
      </ns0:c>
      <ns0:c r="C7" s="205"/>
      <ns0:c r="D7" s="205"/>
      <ns0:c r="E7" s="205"/>
    </ns0:row>
    <ns0:row r="8">
      <ns0:c r="A8" s="206" t="str">
        <ns0:v>2026年10月单位公积金已缴估算：参照9月</ns0:v>
      </ns0:c>
      <ns0:c r="B8" s="210" t="n">
        <ns0:v>133</ns0:v>
      </ns0:c>
      <ns0:c r="C8" s="205"/>
      <ns0:c r="D8" s="205"/>
      <ns0:c r="E8" s="205"/>
    </ns0:row>
    <ns0:row r="9">
      <ns0:c r="A9" s="205"/>
      <ns0:c r="B9" s="205"/>
      <ns0:c r="C9" s="205"/>
      <ns0:c r="D9" s="205"/>
      <ns0:c r="E9" s="205"/>
    </ns0:row>
    <ns0:row r="10" ht="30" customHeight="1">
      <ns0:c r="A10" s="190" t="str">
        <ns0:v>2026年1—10月</ns0:v>
      </ns0:c>
      <ns0:c r="B10" s="190" t="str">
        <ns0:v>加班费统一按月平均工资计算</ns0:v>
      </ns0:c>
      <ns0:c r="C10" s="190"/>
      <ns0:c r="D10" s="205"/>
      <ns0:c r="E10" s="205"/>
    </ns0:row>
    <ns0:row r="11" ht="27" customHeight="1">
      <ns0:c r="A11" s="191" t="str">
        <ns0:v>分档核定工作日加班小时（已付款月份）</ns0:v>
      </ns0:c>
      <ns0:c r="B11" s="192" t="n">
        <ns0:f>SUM('月度加班'!Q3:Q4)+SUM('月度加班'!Q6:Q10)</ns0:f>
        <ns0:v>121</ns0:v>
      </ns0:c>
      <ns0:c r="C11" s="192"/>
      <ns0:c r="D11" s="205"/>
      <ns0:c r="E11" s="205"/>
    </ns0:row>
    <ns0:row r="12" ht="27" customHeight="1">
      <ns0:c r="A12" s="191" t="str">
        <ns0:v>本次计费休息日工时（小时）</ns0:v>
      </ns0:c>
      <ns0:c r="B12" s="192" t="n">
        <ns0:f>'单双休加班明细'!C16+'十月未补休明细'!B8</ns0:f>
        <ns0:v>156</ns0:v>
      </ns0:c>
      <ns0:c r="C12" s="192"/>
      <ns0:c r="D12" s="205"/>
      <ns0:c r="E12" s="205"/>
    </ns0:row>
    <ns0:row r="13" ht="27" customHeight="1">
      <ns0:c r="A13" s="191" t="str">
        <ns0:v>月度／逐日档位小时对应150%应付</ns0:v>
      </ns0:c>
      <ns0:c r="B13" s="192" t="n">
        <ns0:f>SUM('月度加班'!I3:I12)</ns0:f>
        <ns0:v>25409.14349616858</ns0:v>
      </ns0:c>
      <ns0:c r="C13" s="192"/>
      <ns0:c r="D13" s="205"/>
      <ns0:c r="E13" s="205"/>
    </ns0:row>
    <ns0:row r="14" ht="27" customHeight="1">
      <ns0:c r="A14" s="191" t="str">
        <ns0:v>休息日未补休按200%应付</ns0:v>
      </ns0:c>
      <ns0:c r="B14" s="192" t="n">
        <ns0:f>B66</ns0:f>
        <ns0:v>41438.53</ns0:v>
      </ns0:c>
      <ns0:c r="C14" s="192"/>
      <ns0:c r="D14" s="205"/>
      <ns0:c r="E14" s="205"/>
    </ns0:row>
    <ns0:row r="15" ht="27" customHeight="1">
      <ns0:c r="A15" s="193" t="str">
        <ns0:v>两类应付合计</ns0:v>
      </ns0:c>
      <ns0:c r="B15" s="194" t="n">
        <ns0:f>B13+B14</ns0:f>
        <ns0:v>66847.67349616857</ns0:v>
      </ns0:c>
      <ns0:c r="C15" s="194"/>
      <ns0:c r="D15" s="205"/>
      <ns0:c r="E15" s="205"/>
    </ns0:row>
    <ns0:row r="16" ht="27" customHeight="1">
      <ns0:c r="A16" s="191" t="str">
        <ns0:v>工资单可见已付加班项</ns0:v>
      </ns0:c>
      <ns0:c r="B16" s="192" t="n">
        <ns0:f>SUM('月度加班'!H3:H12)</ns0:f>
        <ns0:v>6333.78</ns0:v>
      </ns0:c>
      <ns0:c r="C16" s="192"/>
      <ns0:c r="D16" s="205"/>
      <ns0:c r="E16" s="205"/>
    </ns0:row>
    <ns0:row r="17" ht="27" customHeight="1">
      <ns0:c r="A17" s="191" t="str">
        <ns0:v>已付月份工作日加班工资差额</ns0:v>
      </ns0:c>
      <ns0:c r="B17" s="192" t="n">
        <ns0:f>SUM('月度加班'!P3:P12)</ns0:f>
        <ns0:v>19075.363496168582</ns0:v>
      </ns0:c>
      <ns0:c r="C17" s="192"/>
      <ns0:c r="D17" s="205"/>
      <ns0:c r="E17" s="205"/>
    </ns0:row>
    <ns0:row r="18" ht="27" customHeight="1">
      <ns0:c r="A18" s="191" t="str">
        <ns0:v>休息日未补休毛额</ns0:v>
      </ns0:c>
      <ns0:c r="B18" s="192" t="n">
        <ns0:f>B14</ns0:f>
        <ns0:v>41438.53</ns0:v>
      </ns0:c>
      <ns0:c r="C18" s="192"/>
      <ns0:c r="D18" s="205"/>
      <ns0:c r="E18" s="205"/>
    </ns0:row>
    <ns0:row r="19" ht="30" customHeight="1">
      <ns0:c r="A19" s="195" t="str">
        <ns0:v>两类差额合计（未扣调休及未知已付）</ns0:v>
      </ns0:c>
      <ns0:c r="B19" s="196" t="n">
        <ns0:f>B17+B18</ns0:f>
        <ns0:v>60513.89349616858</ns0:v>
      </ns0:c>
      <ns0:c r="C19" s="196"/>
      <ns0:c r="D19" s="205"/>
      <ns0:c r="E19" s="205"/>
    </ns0:row>
    <ns0:row r="20" ht="27" customHeight="1">
      <ns0:c r="A20" s="191" t="str">
        <ns0:v>2025年12月仅列休息日200%（工作日未见已付）</ns0:v>
      </ns0:c>
      <ns0:c r="B20" s="192" t="n">
        <ns0:f>'月度加班'!I2+'月度加班'!J2</ns0:f>
        <ns0:v>2239.92</ns0:v>
      </ns0:c>
      <ns0:c r="C20" s="192"/>
      <ns0:c r="D20" s="205"/>
      <ns0:c r="E20" s="205"/>
    </ns0:row>
    <ns0:row r="21">
      <ns0:c r="A21" s="205"/>
      <ns0:c r="B21" s="205"/>
      <ns0:c r="C21" s="205"/>
      <ns0:c r="D21" s="205"/>
      <ns0:c r="E21" s="205"/>
    </ns0:row>
    <ns0:row r="22" ht="30" customHeight="1">
      <ns0:c r="A22" s="190" t="str">
        <ns0:v>单位补缴试算：社保2025/12—2026/11；公积金2026/1—11</ns0:v>
      </ns0:c>
      <ns0:c r="B22" s="190" t="str">
        <ns0:v>按2026年1—9月税前月均试算</ns0:v>
      </ns0:c>
      <ns0:c r="C22" s="205"/>
      <ns0:c r="D22" s="205"/>
      <ns0:c r="E22" s="205"/>
    </ns0:row>
    <ns0:row r="23" ht="30" customHeight="1">
      <ns0:c r="A23" s="191"/>
      <ns0:c r="B23" s="192"/>
      <ns0:c r="C23" s="205"/>
      <ns0:c r="D23" s="205"/>
      <ns0:c r="E23" s="205"/>
    </ns0:row>
    <ns0:row r="24" ht="30" customHeight="1">
      <ns0:c r="A24" s="191" t="str">
        <ns0:v>社保单位差额（含生育，不含工伤）</ns0:v>
      </ns0:c>
      <ns0:c r="B24" s="192" t="n">
        <ns0:f>'社保补缴'!I15</ns0:f>
        <ns0:v>63037.079999999994</ns0:v>
      </ns0:c>
      <ns0:c r="C24" s="205"/>
      <ns0:c r="D24" s="205"/>
      <ns0:c r="E24" s="205"/>
    </ns0:row>
    <ns0:row r="25" ht="30" customHeight="1">
      <ns0:c r="A25" s="191"/>
      <ns0:c r="B25" s="192"/>
      <ns0:c r="C25" s="205"/>
      <ns0:c r="D25" s="205"/>
      <ns0:c r="E25" s="205"/>
    </ns0:row>
    <ns0:row r="26" ht="30" customHeight="1">
      <ns0:c r="A26" s="191" t="str">
        <ns0:v>公积金单位部分差额（以单位缴存流水核对）</ns0:v>
      </ns0:c>
      <ns0:c r="B26" s="192" t="n">
        <ns0:f>'公积金补缴'!H14</ns0:f>
        <ns0:v>12116</ns0:v>
      </ns0:c>
      <ns0:c r="C26" s="205"/>
      <ns0:c r="D26" s="205"/>
      <ns0:c r="E26" s="205"/>
    </ns0:row>
    <ns0:row r="27" ht="30" customHeight="1">
      <ns0:c r="A27" s="195" t="str">
        <ns0:v>单位社保及公积金小计（不含工伤）</ns0:v>
      </ns0:c>
      <ns0:c r="B27" s="196" t="n">
        <ns0:f>B24+B26</ns0:f>
        <ns0:v>75153.07999999999</ns0:v>
      </ns0:c>
      <ns0:c r="C27" s="205"/>
      <ns0:c r="D27" s="205"/>
      <ns0:c r="E27" s="205"/>
    </ns0:row>
    <ns0:row r="28" ht="30" customHeight="1">
      <ns0:c r="A28" s="211"/>
      <ns0:c r="B28" s="212"/>
      <ns0:c r="C28" s="205"/>
      <ns0:c r="D28" s="205"/>
      <ns0:c r="E28" s="205"/>
    </ns0:row>
    <ns0:row r="29" ht="48" customHeight="1">
      <ns0:c r="A29" s="213" t="str">
        <ns0:v>工作日只计工资单已发加班项的1、2、4—8月。1—2月按月均工时9小时档计每天1小时，再剔除休息日和请假；4—8月按逐日9／10／11小时档计1／2／3小时，仅取法定工作日。3月工资单加班项未见，9月为0，10月未发工资单。日档仍需公司明细逐日对账。</ns0:v>
      </ns0:c>
      <ns0:c r="B29" s="213"/>
      <ns0:c r="C29" s="213"/>
      <ns0:c r="D29" s="213"/>
      <ns0:c r="E29" s="213"/>
    </ns0:row>
    <ns0:row r="30">
      <ns0:c r="A30" s="205"/>
      <ns0:c r="B30" s="205"/>
      <ns0:c r="C30" s="205"/>
      <ns0:c r="D30" s="205"/>
      <ns0:c r="E30" s="205"/>
    </ns0:row>
    <ns0:row r="31" ht="30" customHeight="1">
      <ns0:c r="A31" s="190" t="str">
        <ns0:v>补缴基数：1—9月平均工资</ns0:v>
      </ns0:c>
      <ns0:c r="B31" s="190" t="str">
        <ns0:v>社保单位补缴（不含工伤）</ns0:v>
      </ns0:c>
      <ns0:c r="C31" s="190" t="str">
        <ns0:v>公积金单位补缴（估算）</ns0:v>
      </ns0:c>
      <ns0:c r="D31" s="190"/>
      <ns0:c r="E31" s="190"/>
    </ns0:row>
    <ns0:row r="32" ht="28" customHeight="1">
      <ns0:c r="A32" s="192" t="n">
        <ns0:f>$B$5</ns0:f>
        <ns0:v>24359.178888888888</ns0:v>
      </ns0:c>
      <ns0:c r="B32" s="192" t="n">
        <ns0:f>12*(ROUND(A32*16%,2)+ROUND(A32*9.5%,2)+ROUND(A32*0.5%,2))-'社保补缴'!G15</ns0:f>
        <ns0:v>63037.08</ns0:v>
      </ns0:c>
      <ns0:c r="C32" s="192" t="n">
        <ns0:f>11*ROUND(A32*$B$7,0)-'公积金补缴'!F14</ns0:f>
        <ns0:v>12116</ns0:v>
      </ns0:c>
      <ns0:c r="D32" s="192"/>
      <ns0:c r="E32" s="192"/>
    </ns0:row>
    <ns0:row r="33" ht="28" customHeight="1">
      <ns0:c r="A33" s="192"/>
      <ns0:c r="B33" s="192"/>
      <ns0:c r="C33" s="192"/>
      <ns0:c r="D33" s="192"/>
      <ns0:c r="E33" s="192"/>
    </ns0:row>
    <ns0:row r="34" ht="28" customHeight="1">
      <ns0:c r="A34" s="192"/>
      <ns0:c r="B34" s="192"/>
      <ns0:c r="C34" s="192"/>
      <ns0:c r="D34" s="192"/>
      <ns0:c r="E34" s="192"/>
    </ns0:row>
    <ns0:row r="35" ht="28" customHeight="1">
      <ns0:c r="A35" s="192"/>
      <ns0:c r="B35" s="192"/>
      <ns0:c r="C35" s="192"/>
      <ns0:c r="D35" s="192"/>
      <ns0:c r="E35" s="192"/>
    </ns0:row>
    <ns0:row r="36">
      <ns0:c r="A36" s="205"/>
      <ns0:c r="B36" s="205"/>
      <ns0:c r="C36" s="205"/>
      <ns0:c r="D36" s="205"/>
      <ns0:c r="E36" s="205"/>
    </ns0:row>
    <ns0:row r="37" ht="30" customHeight="1">
      <ns0:c r="A37" s="200" t="str">
        <ns0:v>N+1 解除补偿试算</ns0:v>
      </ns0:c>
      <ns0:c r="B37" s="200" t="str">
        <ns0:v>2026年11月解除口径</ns0:v>
      </ns0:c>
      <ns0:c r="C37" s="205"/>
      <ns0:c r="D37" s="205"/>
      <ns0:c r="E37" s="205"/>
    </ns0:row>
    <ns0:row r="38" ht="28" customHeight="1">
      <ns0:c r="A38" s="191" t="str">
        <ns0:v>入职日期</ns0:v>
      </ns0:c>
      <ns0:c r="B38" s="191" t="str">
        <ns0:v>2025-12-19</ns0:v>
      </ns0:c>
      <ns0:c r="C38" s="205"/>
      <ns0:c r="D38" s="205"/>
      <ns0:c r="E38" s="205"/>
    </ns0:row>
    <ns0:row r="39" ht="28" customHeight="1">
      <ns0:c r="A39" s="191" t="str">
        <ns0:v>解除日期口径</ns0:v>
      </ns0:c>
      <ns0:c r="B39" s="408" t="str">
        <ns0:v>2026年11月</ns0:v>
      </ns0:c>
      <ns0:c r="C39" s="205"/>
      <ns0:c r="D39" s="205"/>
      <ns0:c r="E39" s="205"/>
    </ns0:row>
    <ns0:row r="40" ht="28" customHeight="1">
      <ns0:c r="A40" s="191" t="str">
        <ns0:v>经济补偿月数 N</ns0:v>
      </ns0:c>
      <ns0:c r="B40" s="201" t="n">
        <ns0:v>1</ns0:v>
      </ns0:c>
      <ns0:c r="C40" s="205"/>
      <ns0:c r="D40" s="205"/>
      <ns0:c r="E40" s="205"/>
    </ns0:row>
    <ns0:row r="41" ht="28" customHeight="1">
      <ns0:c r="A41" s="191" t="str">
        <ns0:v>2026年1—9月税前工资合计</ns0:v>
      </ns0:c>
      <ns0:c r="B41" s="192" t="n">
        <ns0:f>SUM('工资单转录'!B4:B12)</ns0:f>
        <ns0:v>219232.61</ns0:v>
      </ns0:c>
      <ns0:c r="C41" s="205"/>
      <ns0:c r="D41" s="205"/>
      <ns0:c r="E41" s="205"/>
    </ns0:row>
    <ns0:row r="42" ht="28" customHeight="1">
      <ns0:c r="A42" s="191" t="str">
        <ns0:v>纳入平均的完整工资月数</ns0:v>
      </ns0:c>
      <ns0:c r="B42" s="201" t="n">
        <ns0:f>COUNT('工资单转录'!B4:B12)</ns0:f>
        <ns0:v>9</ns0:v>
      </ns0:c>
      <ns0:c r="C42" s="205"/>
      <ns0:c r="D42" s="205"/>
      <ns0:c r="E42" s="205"/>
    </ns0:row>
    <ns0:row r="43" ht="28" customHeight="1">
      <ns0:c r="A43" s="191" t="str">
        <ns0:v>N 的月工资基数</ns0:v>
      </ns0:c>
      <ns0:c r="B43" s="192" t="n">
        <ns0:f>B41/B42</ns0:f>
        <ns0:v>24359.178888888888</ns0:v>
      </ns0:c>
      <ns0:c r="C43" s="205"/>
      <ns0:c r="D43" s="205"/>
      <ns0:c r="E43" s="205"/>
    </ns0:row>
    <ns0:row r="44" ht="28" customHeight="1">
      <ns0:c r="A44" s="191" t="str">
        <ns0:v>N 经济补偿估算</ns0:v>
      </ns0:c>
      <ns0:c r="B44" s="192" t="n">
        <ns0:f>ROUND(B43*B40,2)</ns0:f>
        <ns0:v>24359.18</ns0:v>
      </ns0:c>
      <ns0:c r="C44" s="205"/>
      <ns0:c r="D44" s="205"/>
      <ns0:c r="E44" s="205"/>
    </ns0:row>
    <ns0:row r="45" ht="28" customHeight="1">
      <ns0:c r="A45" s="191" t="str">
        <ns0:v>+1 代通知金：按月平均工资试算</ns0:v>
      </ns0:c>
      <ns0:c r="B45" s="192" t="n">
        <ns0:f>ROUND(B5,2)</ns0:f>
        <ns0:v>24359.18</ns0:v>
      </ns0:c>
      <ns0:c r="C45" s="205"/>
      <ns0:c r="D45" s="205"/>
      <ns0:c r="E45" s="205"/>
    </ns0:row>
    <ns0:row r="46" ht="32" customHeight="1">
      <ns0:c r="A46" s="195" t="str">
        <ns0:v>N+1 合计（符合适用条件时）</ns0:v>
      </ns0:c>
      <ns0:c r="B46" s="196" t="n">
        <ns0:f>SUM(B44:B45)</ns0:f>
        <ns0:v>48718.36</ns0:v>
      </ns0:c>
      <ns0:c r="C46" s="205"/>
      <ns0:c r="D46" s="205"/>
      <ns0:c r="E46" s="205"/>
    </ns0:row>
    <ns0:row r="47">
      <ns0:c r="A47" s="205"/>
      <ns0:c r="B47" s="205"/>
      <ns0:c r="C47" s="205"/>
      <ns0:c r="D47" s="205"/>
      <ns0:c r="E47" s="205"/>
    </ns0:row>
    <ns0:row r="48" ht="48" customHeight="1">
      <ns0:c r="A48" s="213" t="str">
        <ns0:v>解除日期口径2026年11月，入职2025-12-19，N=1；N与+1沿2026年1—9月完整工资月税前均值，剔除2025年12月不满月及餐补。10月实际工资单未取得，9月工资只作历史参考；N/+1以相应适用条件成立为前提。</ns0:v>
      </ns0:c>
      <ns0:c r="B48" s="213"/>
      <ns0:c r="C48" s="213"/>
      <ns0:c r="D48" s="213"/>
      <ns0:c r="E48" s="213"/>
    </ns0:row>
    <ns0:row r="49">
      <ns0:c r="A49" s="205"/>
      <ns0:c r="B49" s="205"/>
      <ns0:c r="C49" s="205"/>
      <ns0:c r="D49" s="205"/>
      <ns0:c r="E49" s="205"/>
    </ns0:row>
    <ns0:row r="50" ht="30" customHeight="1">
      <ns0:c r="A50" s="200" t="str">
        <ns0:v>未发工资及未休调休</ns0:v>
      </ns0:c>
      <ns0:c r="B50" s="200" t="str">
        <ns0:v>按现有工资及考勤资料计算</ns0:v>
      </ns0:c>
      <ns0:c r="C50" s="205"/>
      <ns0:c r="D50" s="205"/>
      <ns0:c r="E50" s="205"/>
    </ns0:row>
    <ns0:row r="51" ht="28" customHeight="1">
      <ns0:c r="A51" s="191" t="str">
        <ns0:v>未发工资（十月＋十一月）</ns0:v>
      </ns0:c>
      <ns0:c r="B51" s="192" t="n">
        <ns0:f>'未发工资明细'!B6</ns0:f>
        <ns0:v>28413.79</ns0:v>
      </ns0:c>
      <ns0:c r="C51" s="205"/>
      <ns0:c r="D51" s="205"/>
      <ns0:c r="E51" s="205"/>
    </ns0:row>
    <ns0:row r="52" ht="28" customHeight="1">
      <ns0:c r="A52" s="191" t="str">
        <ns0:v>N+1试算</ns0:v>
      </ns0:c>
      <ns0:c r="B52" s="192" t="n">
        <ns0:f>B46</ns0:f>
        <ns0:v>48718.36</ns0:v>
      </ns0:c>
      <ns0:c r="C52" s="205"/>
      <ns0:c r="D52" s="205"/>
      <ns0:c r="E52" s="205"/>
    </ns0:row>
    <ns0:row r="53" ht="32" customHeight="1">
      <ns0:c r="A53" s="195" t="str">
        <ns0:v>未发工资＋N+1（税前，未含加班差额）</ns0:v>
      </ns0:c>
      <ns0:c r="B53" s="196" t="n">
        <ns0:f>SUM(B51:B52)</ns0:f>
        <ns0:v>77132.15</ns0:v>
      </ns0:c>
      <ns0:c r="C53" s="205"/>
      <ns0:c r="D53" s="205"/>
      <ns0:c r="E53" s="205"/>
    </ns0:row>
    <ns0:row r="54" ht="28" customHeight="1">
      <ns0:c r="A54" s="191" t="str">
        <ns0:v>截至10/30已核实未休调休余额（小时）</ns0:v>
      </ns0:c>
      <ns0:c r="B54" s="201" t="n">
        <ns0:f>'十月未补休明细'!B8</ns0:f>
        <ns0:v>12</ns0:v>
      </ns0:c>
      <ns0:c r="C54" s="205"/>
      <ns0:c r="D54" s="205"/>
      <ns0:c r="E54" s="205"/>
    </ns0:row>
    <ns0:row r="55" ht="28" customHeight="1">
      <ns0:c r="A55" s="191" t="str">
        <ns0:v>10月24、25日审批加班未补休12小时200%</ns0:v>
      </ns0:c>
      <ns0:c r="B55" s="192" t="n">
        <ns0:f>ROUND(B54*$B$3/(21.75*8)*2,2)</ns0:f>
        <ns0:v>3359.89</ns0:v>
      </ns0:c>
      <ns0:c r="C55" s="205"/>
      <ns0:c r="D55" s="205"/>
      <ns0:c r="E55" s="205"/>
    </ns0:row>
    <ns0:row r="56" ht="28" customHeight="1">
      <ns0:c r="A56" s="191" t="str">
        <ns0:v>10月大小休8小时＋未补休12小时200%合计</ns0:v>
      </ns0:c>
      <ns0:c r="B56" s="192" t="n">
        <ns0:f>'月度加班'!J12</ns0:f>
        <ns0:v>5599.8099999999995</ns0:v>
      </ns0:c>
      <ns0:c r="C56" s="205"/>
      <ns0:c r="D56" s="205"/>
      <ns0:c r="E56" s="205"/>
    </ns0:row>
    <ns0:row r="57">
      <ns0:c r="A57" s="205" t="str">
        <ns0:v>10月18日大小休多出一天8小时200%</ns0:v>
      </ns0:c>
      <ns0:c r="B57" s="205" t="n">
        <ns0:f>'单双休加班明细'!D14</ns0:f>
        <ns0:v>2239.92</ns0:v>
      </ns0:c>
      <ns0:c r="C57" s="205"/>
      <ns0:c r="D57" s="205"/>
      <ns0:c r="E57" s="205"/>
    </ns0:row>
    <ns0:row r="58" ht="52" customHeight="1">
      <ns0:c r="A58" s="213" t="str">
        <ns0:v>10月24、25日审批共16小时，10月27日及30日各调休2小时，共4小时，剩12小时；系统余额截图已核对。</ns0:v>
      </ns0:c>
      <ns0:c r="B58" s="213"/>
      <ns0:c r="C58" s="213"/>
      <ns0:c r="D58" s="213"/>
      <ns0:c r="E58" s="213"/>
    </ns0:row>
    <ns0:row r="59">
      <ns0:c r="A59" s="205"/>
      <ns0:c r="B59" s="205"/>
      <ns0:c r="C59" s="205"/>
      <ns0:c r="D59" s="205"/>
      <ns0:c r="E59" s="205"/>
    </ns0:row>
    <ns0:row r="60" ht="32" customHeight="1">
      <ns0:c r="A60" s="200" t="str">
        <ns0:v>公司付款与补缴总账</ns0:v>
      </ns0:c>
      <ns0:c r="B60" s="200" t="str">
        <ns0:v>社保2025年12月—2026年11月；公积金2026年1—11月</ns0:v>
      </ns0:c>
      <ns0:c r="C60" s="205"/>
      <ns0:c r="D60" s="205"/>
      <ns0:c r="E60" s="205"/>
    </ns0:row>
    <ns0:row r="61" ht="28" customHeight="1">
      <ns0:c r="A61" s="191" t="str">
        <ns0:v>2025年12月工作日：无已付加班项，本次不计</ns0:v>
      </ns0:c>
      <ns0:c r="B61" s="202" t="n">
        <ns0:f>'月度加班'!I2</ns0:f>
        <ns0:v>0</ns0:v>
      </ns0:c>
      <ns0:c r="C61" s="205"/>
      <ns0:c r="D61" s="205"/>
      <ns0:c r="E61" s="205"/>
    </ns0:row>
    <ns0:row r="62" ht="28" customHeight="1">
      <ns0:c r="A62" s="191" t="str">
        <ns0:v>2025年12月休息日200%应付</ns0:v>
      </ns0:c>
      <ns0:c r="B62" s="202" t="n">
        <ns0:f>'月度加班'!J2</ns0:f>
        <ns0:v>2239.92</ns0:v>
      </ns0:c>
      <ns0:c r="C62" s="205"/>
      <ns0:c r="D62" s="205"/>
      <ns0:c r="E62" s="205"/>
    </ns0:row>
    <ns0:row r="63" ht="28" customHeight="1">
      <ns0:c r="A63" s="191" t="str">
        <ns0:v>2026年已付款月份分档小时150%应付</ns0:v>
      </ns0:c>
      <ns0:c r="B63" s="202" t="n">
        <ns0:f>B13</ns0:f>
        <ns0:v>25409.14349616858</ns0:v>
      </ns0:c>
      <ns0:c r="C63" s="205"/>
      <ns0:c r="D63" s="205"/>
      <ns0:c r="E63" s="205"/>
    </ns0:row>
    <ns0:row r="64" ht="28" customHeight="1">
      <ns0:c r="A64" s="191" t="str">
        <ns0:v>减：该等月份工资单已发加班项</ns0:v>
      </ns0:c>
      <ns0:c r="B64" s="202" t="n">
        <ns0:f>-B16</ns0:f>
        <ns0:v>-6333.78</ns0:v>
      </ns0:c>
      <ns0:c r="C64" s="205"/>
      <ns0:c r="D64" s="205"/>
      <ns0:c r="E64" s="205"/>
    </ns0:row>
    <ns0:row r="65" ht="32" customHeight="1">
      <ns0:c r="A65" s="195" t="str">
        <ns0:v>已付月份工作日差额</ns0:v>
      </ns0:c>
      <ns0:c r="B65" s="203" t="n">
        <ns0:f>ROUND(B63+B64,2)</ns0:f>
        <ns0:v>19075.36</ns0:v>
      </ns0:c>
      <ns0:c r="C65" s="205"/>
      <ns0:c r="D65" s="205"/>
      <ns0:c r="E65" s="205"/>
    </ns0:row>
    <ns0:row r="66" ht="28" customHeight="1">
      <ns0:c r="A66" s="191" t="str">
        <ns0:v>2026年1—10月休息日200%应付</ns0:v>
      </ns0:c>
      <ns0:c r="B66" s="202" t="n">
        <ns0:f>ROUND(SUM('月度加班'!J3:J11),2)+'月度加班'!J12</ns0:f>
        <ns0:v>41438.53</ns0:v>
      </ns0:c>
      <ns0:c r="C66" s="205"/>
      <ns0:c r="D66" s="205"/>
      <ns0:c r="E66" s="205"/>
    </ns0:row>
    <ns0:row r="67" ht="32" customHeight="1">
      <ns0:c r="A67" s="195" t="str">
        <ns0:v>加班工资应付合计（工作日差额及休息日）</ns0:v>
      </ns0:c>
      <ns0:c r="B67" s="203" t="n">
        <ns0:f>SUM(B61:B62,B65:B66)</ns0:f>
        <ns0:v>62753.81</ns0:v>
      </ns0:c>
      <ns0:c r="C67" s="205"/>
      <ns0:c r="D67" s="205"/>
      <ns0:c r="E67" s="205"/>
    </ns0:row>
    <ns0:row r="68" ht="28" customHeight="1">
      <ns0:c r="A68" s="191" t="str">
        <ns0:v>未发工资（十月＋十一月）</ns0:v>
      </ns0:c>
      <ns0:c r="B68" s="202" t="n">
        <ns0:f>B51</ns0:f>
        <ns0:v>28413.79</ns0:v>
      </ns0:c>
      <ns0:c r="C68" s="205"/>
      <ns0:c r="D68" s="205"/>
      <ns0:c r="E68" s="205"/>
    </ns0:row>
    <ns0:row r="69" ht="28" customHeight="1">
      <ns0:c r="A69" s="191" t="str">
        <ns0:v>N+1解除补偿（依适用条件计算）</ns0:v>
      </ns0:c>
      <ns0:c r="B69" s="202" t="n">
        <ns0:f>B46</ns0:f>
        <ns0:v>48718.36</ns0:v>
      </ns0:c>
      <ns0:c r="C69" s="205"/>
      <ns0:c r="D69" s="205"/>
      <ns0:c r="E69" s="205"/>
    </ns0:row>
    <ns0:row r="70" ht="32" customHeight="1">
      <ns0:c r="A70" s="195" t="str">
        <ns0:v>应付本人现金项税前小计</ns0:v>
      </ns0:c>
      <ns0:c r="B70" s="203" t="n">
        <ns0:f>SUM(B67:B69)</ns0:f>
        <ns0:v>139885.96000000002</ns0:v>
      </ns0:c>
      <ns0:c r="C70" s="205"/>
      <ns0:c r="D70" s="205"/>
      <ns0:c r="E70" s="205"/>
    </ns0:row>
    <ns0:row r="71" ht="28" customHeight="1">
      <ns0:c r="A71" s="191" t="str">
        <ns0:v>社保单位部分补缴估算</ns0:v>
      </ns0:c>
      <ns0:c r="B71" s="202" t="n">
        <ns0:f>B24</ns0:f>
        <ns0:v>63037.079999999994</ns0:v>
      </ns0:c>
      <ns0:c r="C71" s="205"/>
      <ns0:c r="D71" s="205"/>
      <ns0:c r="E71" s="205"/>
    </ns0:row>
    <ns0:row r="72" ht="28" customHeight="1">
      <ns0:c r="A72" s="191" t="str">
        <ns0:v>公积金单位部分补缴估算</ns0:v>
      </ns0:c>
      <ns0:c r="B72" s="202" t="n">
        <ns0:f>B26</ns0:f>
        <ns0:v>12116</ns0:v>
      </ns0:c>
      <ns0:c r="C72" s="205"/>
      <ns0:c r="D72" s="205"/>
      <ns0:c r="E72" s="205"/>
    </ns0:row>
    <ns0:row r="73" ht="32" customHeight="1">
      <ns0:c r="A73" s="195" t="str">
        <ns0:v>公司承担小计（不含滞纳金）</ns0:v>
      </ns0:c>
      <ns0:c r="B73" s="203" t="n">
        <ns0:f>SUM(B70:B72)</ns0:f>
        <ns0:v>215039.04</ns0:v>
      </ns0:c>
      <ns0:c r="C73" s="205"/>
      <ns0:c r="D73" s="205"/>
      <ns0:c r="E73" s="205"/>
    </ns0:row>
    <ns0:row r="74" ht="28" customHeight="1">
      <ns0:c r="A74" s="195" t="str">
        <ns0:v>社保补缴滞纳金</ns0:v>
      </ns0:c>
      <ns0:c r="B74" s="203" t="n">
        <ns0:f>'社保滞纳金明细'!F15</ns0:f>
        <ns0:v>4143.98</ns0:v>
      </ns0:c>
      <ns0:c r="C74" s="205"/>
      <ns0:c r="D74" s="205"/>
      <ns0:c r="E74" s="205"/>
    </ns0:row>
    <ns0:row r="75" ht="28" customHeight="1">
      <ns0:c r="A75" s="195" t="str">
        <ns0:v>公司承担合计</ns0:v>
      </ns0:c>
      <ns0:c r="B75" s="203" t="n">
        <ns0:f>B73+B74</ns0:f>
        <ns0:v>219183.02000000002</ns0:v>
      </ns0:c>
      <ns0:c r="C75" s="205"/>
      <ns0:c r="D75" s="205"/>
      <ns0:c r="E75" s="205"/>
    </ns0:row>
    <ns0:row r="76" ht="32" customHeight="1">
      <ns0:c r="A76" s="195"/>
      <ns0:c r="B76" s="203"/>
      <ns0:c r="C76" s="205"/>
      <ns0:c r="D76" s="205"/>
      <ns0:c r="E76" s="205"/>
    </ns0:row>
    <ns0:row r="77">
      <ns0:c r="A77" s="205"/>
      <ns0:c r="B77" s="205"/>
      <ns0:c r="C77" s="205"/>
      <ns0:c r="D77" s="205"/>
      <ns0:c r="E77" s="205"/>
    </ns0:row>
    <ns0:row r="78" ht="70" customHeight="1">
      <ns0:c r="A78" s="213" t="str">
        <ns0:f>"社保2025年12月至2026年11月，公积金2026年1月至11月；2025年12月社保及2026年11月两项单位已缴金额为0元。入职月适用基数待核定。滞纳金截至"&amp;TEXT(B2,"yyyy-mm-dd")&amp;"，按次月15日后起算，实际征期以核定为准。解除日期口径：2026年11月。"</ns0:f>
        <ns0:v>社保2025年12月至2026年11月，公积金2026年1月至11月；2025年12月社保及2026年11月两项单位已缴金额为0元。入职月适用基数待核定。滞纳金截至2026-11-04，按次月15日后起算，实际征期以核定为准。解除日期口径：2026年11月。</ns0:v>
      </ns0:c>
      <ns0:c r="B78" s="213"/>
      <ns0:c r="C78" s="213"/>
      <ns0:c r="D78" s="213"/>
      <ns0:c r="E78" s="213"/>
    </ns0:row>
  </ns0:sheetData>
  <ns0:mergeCells>
    <ns0:mergeCell ref="A1:E1"/>
    <ns0:mergeCell ref="A29:E29"/>
    <ns0:mergeCell ref="A48:E48"/>
    <ns0:mergeCell ref="A58:E58"/>
    <ns0:mergeCell ref="A78:E78"/>
  </ns0:mergeCells>
  <ns0:pageMargins left="0.7" right="0.7" top="0.75" bottom="0.75" header="0.3" footer="0.3"/>
</ns0:worksheet>
</file>